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220" windowHeight="7245" activeTab="1"/>
  </bookViews>
  <sheets>
    <sheet name="Штатные должности" sheetId="7" r:id="rId1"/>
    <sheet name="1Описание работ" sheetId="1" r:id="rId2"/>
    <sheet name="2Рабочее время" sheetId="6" r:id="rId3"/>
    <sheet name="Расчет численности" sheetId="2" r:id="rId4"/>
    <sheet name="Потери рабочего времени" sheetId="11" r:id="rId5"/>
    <sheet name="Частотность" sheetId="8" state="hidden" r:id="rId6"/>
    <sheet name="Производные показатели" sheetId="9" state="hidden" r:id="rId7"/>
    <sheet name="Лист3" sheetId="12" state="hidden" r:id="rId8"/>
    <sheet name="Диаграммы" sheetId="13" r:id="rId9"/>
  </sheets>
  <definedNames>
    <definedName name="_xlnm._FilterDatabase" localSheetId="1" hidden="1">'1Описание работ'!$A$1:$Z$128</definedName>
    <definedName name="_xlnm._FilterDatabase" localSheetId="2" hidden="1">'2Рабочее время'!$A$1:$CV$14</definedName>
  </definedNames>
  <calcPr calcId="145621"/>
  <pivotCaches>
    <pivotCache cacheId="0" r:id="rId10"/>
  </pivotCaches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2" i="1"/>
  <c r="J7" i="6" l="1"/>
  <c r="J8" i="6"/>
  <c r="K7" i="6"/>
  <c r="K8" i="6"/>
  <c r="O4" i="2" l="1"/>
  <c r="C6" i="2" l="1"/>
  <c r="C9" i="2"/>
  <c r="C10" i="2"/>
  <c r="C12" i="2"/>
  <c r="C16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4" i="2"/>
  <c r="E6" i="2"/>
  <c r="E9" i="2"/>
  <c r="E10" i="2"/>
  <c r="E12" i="2"/>
  <c r="E16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4" i="2"/>
  <c r="G6" i="2"/>
  <c r="G9" i="2"/>
  <c r="G10" i="2"/>
  <c r="G12" i="2"/>
  <c r="G16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4" i="2"/>
  <c r="I6" i="2"/>
  <c r="I9" i="2"/>
  <c r="I10" i="2"/>
  <c r="I12" i="2"/>
  <c r="I16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4" i="2"/>
  <c r="V3" i="1" l="1"/>
  <c r="X3" i="1" s="1"/>
  <c r="Y3" i="1" s="1"/>
  <c r="V4" i="1"/>
  <c r="X4" i="1" s="1"/>
  <c r="Y4" i="1" s="1"/>
  <c r="V5" i="1"/>
  <c r="X5" i="1" s="1"/>
  <c r="Y5" i="1" s="1"/>
  <c r="V6" i="1"/>
  <c r="X6" i="1" s="1"/>
  <c r="Y6" i="1" s="1"/>
  <c r="V7" i="1"/>
  <c r="X7" i="1" s="1"/>
  <c r="Y7" i="1" s="1"/>
  <c r="V8" i="1"/>
  <c r="X8" i="1" s="1"/>
  <c r="Y8" i="1" s="1"/>
  <c r="V9" i="1"/>
  <c r="X9" i="1" s="1"/>
  <c r="Y9" i="1" s="1"/>
  <c r="V10" i="1"/>
  <c r="X10" i="1" s="1"/>
  <c r="Y10" i="1" s="1"/>
  <c r="V11" i="1"/>
  <c r="X11" i="1" s="1"/>
  <c r="Y11" i="1" s="1"/>
  <c r="V12" i="1"/>
  <c r="X12" i="1" s="1"/>
  <c r="Y12" i="1" s="1"/>
  <c r="V13" i="1"/>
  <c r="X13" i="1" s="1"/>
  <c r="Y13" i="1" s="1"/>
  <c r="V14" i="1"/>
  <c r="X14" i="1" s="1"/>
  <c r="Y14" i="1" s="1"/>
  <c r="V15" i="1"/>
  <c r="X15" i="1" s="1"/>
  <c r="Y15" i="1" s="1"/>
  <c r="V16" i="1"/>
  <c r="X16" i="1" s="1"/>
  <c r="Y16" i="1" s="1"/>
  <c r="V17" i="1"/>
  <c r="X17" i="1" s="1"/>
  <c r="Y17" i="1" s="1"/>
  <c r="V18" i="1"/>
  <c r="X18" i="1" s="1"/>
  <c r="Y18" i="1" s="1"/>
  <c r="V19" i="1"/>
  <c r="X19" i="1" s="1"/>
  <c r="Y19" i="1" s="1"/>
  <c r="V20" i="1"/>
  <c r="X20" i="1" s="1"/>
  <c r="Y20" i="1" s="1"/>
  <c r="V21" i="1"/>
  <c r="X21" i="1" s="1"/>
  <c r="Y21" i="1" s="1"/>
  <c r="V22" i="1"/>
  <c r="X22" i="1" s="1"/>
  <c r="Y22" i="1" s="1"/>
  <c r="V23" i="1"/>
  <c r="X23" i="1" s="1"/>
  <c r="Y23" i="1" s="1"/>
  <c r="V24" i="1"/>
  <c r="X24" i="1" s="1"/>
  <c r="Y24" i="1" s="1"/>
  <c r="V25" i="1"/>
  <c r="X25" i="1" s="1"/>
  <c r="Y25" i="1" s="1"/>
  <c r="V26" i="1"/>
  <c r="X26" i="1" s="1"/>
  <c r="Y26" i="1" s="1"/>
  <c r="V27" i="1"/>
  <c r="X27" i="1" s="1"/>
  <c r="Y27" i="1" s="1"/>
  <c r="V28" i="1"/>
  <c r="X28" i="1" s="1"/>
  <c r="Y28" i="1" s="1"/>
  <c r="V29" i="1"/>
  <c r="X29" i="1" s="1"/>
  <c r="Y29" i="1" s="1"/>
  <c r="V30" i="1"/>
  <c r="X30" i="1" s="1"/>
  <c r="Y30" i="1" s="1"/>
  <c r="V31" i="1"/>
  <c r="X31" i="1" s="1"/>
  <c r="Y31" i="1" s="1"/>
  <c r="V32" i="1"/>
  <c r="X32" i="1" s="1"/>
  <c r="Y32" i="1" s="1"/>
  <c r="V33" i="1"/>
  <c r="X33" i="1" s="1"/>
  <c r="Y33" i="1" s="1"/>
  <c r="V34" i="1"/>
  <c r="X34" i="1" s="1"/>
  <c r="Y34" i="1" s="1"/>
  <c r="V35" i="1"/>
  <c r="X35" i="1" s="1"/>
  <c r="Y35" i="1" s="1"/>
  <c r="V36" i="1"/>
  <c r="X36" i="1" s="1"/>
  <c r="Y36" i="1" s="1"/>
  <c r="V37" i="1"/>
  <c r="X37" i="1" s="1"/>
  <c r="Y37" i="1" s="1"/>
  <c r="V38" i="1"/>
  <c r="X38" i="1" s="1"/>
  <c r="Y38" i="1" s="1"/>
  <c r="V39" i="1"/>
  <c r="X39" i="1" s="1"/>
  <c r="Y39" i="1" s="1"/>
  <c r="V40" i="1"/>
  <c r="X40" i="1" s="1"/>
  <c r="Y40" i="1" s="1"/>
  <c r="V41" i="1"/>
  <c r="X41" i="1" s="1"/>
  <c r="Y41" i="1" s="1"/>
  <c r="V42" i="1"/>
  <c r="X42" i="1" s="1"/>
  <c r="Y42" i="1" s="1"/>
  <c r="V43" i="1"/>
  <c r="X43" i="1" s="1"/>
  <c r="Y43" i="1" s="1"/>
  <c r="V44" i="1"/>
  <c r="X44" i="1" s="1"/>
  <c r="Y44" i="1" s="1"/>
  <c r="V45" i="1"/>
  <c r="X45" i="1" s="1"/>
  <c r="Y45" i="1" s="1"/>
  <c r="V46" i="1"/>
  <c r="X46" i="1" s="1"/>
  <c r="Y46" i="1" s="1"/>
  <c r="V47" i="1"/>
  <c r="X47" i="1" s="1"/>
  <c r="Y47" i="1" s="1"/>
  <c r="V48" i="1"/>
  <c r="X48" i="1" s="1"/>
  <c r="Y48" i="1" s="1"/>
  <c r="V49" i="1"/>
  <c r="X49" i="1" s="1"/>
  <c r="Y49" i="1" s="1"/>
  <c r="V50" i="1"/>
  <c r="X50" i="1" s="1"/>
  <c r="Y50" i="1" s="1"/>
  <c r="V51" i="1"/>
  <c r="X51" i="1" s="1"/>
  <c r="Y51" i="1" s="1"/>
  <c r="V52" i="1"/>
  <c r="X52" i="1" s="1"/>
  <c r="Y52" i="1" s="1"/>
  <c r="V53" i="1"/>
  <c r="X53" i="1" s="1"/>
  <c r="Y53" i="1" s="1"/>
  <c r="V54" i="1"/>
  <c r="X54" i="1" s="1"/>
  <c r="Y54" i="1" s="1"/>
  <c r="V55" i="1"/>
  <c r="X55" i="1" s="1"/>
  <c r="Y55" i="1" s="1"/>
  <c r="V56" i="1"/>
  <c r="X56" i="1" s="1"/>
  <c r="Y56" i="1" s="1"/>
  <c r="V57" i="1"/>
  <c r="X57" i="1" s="1"/>
  <c r="Y57" i="1" s="1"/>
  <c r="V58" i="1"/>
  <c r="X58" i="1" s="1"/>
  <c r="Y58" i="1" s="1"/>
  <c r="V59" i="1"/>
  <c r="X59" i="1" s="1"/>
  <c r="Y59" i="1" s="1"/>
  <c r="V60" i="1"/>
  <c r="X60" i="1" s="1"/>
  <c r="Y60" i="1" s="1"/>
  <c r="V61" i="1"/>
  <c r="X61" i="1" s="1"/>
  <c r="Y61" i="1" s="1"/>
  <c r="V62" i="1"/>
  <c r="X62" i="1" s="1"/>
  <c r="Y62" i="1" s="1"/>
  <c r="V63" i="1"/>
  <c r="X63" i="1" s="1"/>
  <c r="Y63" i="1" s="1"/>
  <c r="V64" i="1"/>
  <c r="X64" i="1" s="1"/>
  <c r="Y64" i="1" s="1"/>
  <c r="V65" i="1"/>
  <c r="X65" i="1" s="1"/>
  <c r="Y65" i="1" s="1"/>
  <c r="V66" i="1"/>
  <c r="X66" i="1" s="1"/>
  <c r="Y66" i="1" s="1"/>
  <c r="V67" i="1"/>
  <c r="X67" i="1" s="1"/>
  <c r="Y67" i="1" s="1"/>
  <c r="V68" i="1"/>
  <c r="X68" i="1" s="1"/>
  <c r="Y68" i="1" s="1"/>
  <c r="V69" i="1"/>
  <c r="X69" i="1" s="1"/>
  <c r="Y69" i="1" s="1"/>
  <c r="V70" i="1"/>
  <c r="X70" i="1" s="1"/>
  <c r="Y70" i="1" s="1"/>
  <c r="V71" i="1"/>
  <c r="X71" i="1" s="1"/>
  <c r="Y71" i="1" s="1"/>
  <c r="V72" i="1"/>
  <c r="X72" i="1" s="1"/>
  <c r="Y72" i="1" s="1"/>
  <c r="V73" i="1"/>
  <c r="X73" i="1" s="1"/>
  <c r="Y73" i="1" s="1"/>
  <c r="V74" i="1"/>
  <c r="X74" i="1" s="1"/>
  <c r="Y74" i="1" s="1"/>
  <c r="V75" i="1"/>
  <c r="X75" i="1" s="1"/>
  <c r="Y75" i="1" s="1"/>
  <c r="V76" i="1"/>
  <c r="X76" i="1" s="1"/>
  <c r="Y76" i="1" s="1"/>
  <c r="V77" i="1"/>
  <c r="X77" i="1" s="1"/>
  <c r="Y77" i="1" s="1"/>
  <c r="V78" i="1"/>
  <c r="X78" i="1" s="1"/>
  <c r="Y78" i="1" s="1"/>
  <c r="V79" i="1"/>
  <c r="X79" i="1" s="1"/>
  <c r="Y79" i="1" s="1"/>
  <c r="V80" i="1"/>
  <c r="X80" i="1" s="1"/>
  <c r="Y80" i="1" s="1"/>
  <c r="V2" i="1"/>
  <c r="Q6" i="2" l="1"/>
  <c r="Q9" i="2"/>
  <c r="Q10" i="2"/>
  <c r="Q12" i="2"/>
  <c r="Q16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4" i="2"/>
  <c r="J3" i="6" l="1"/>
  <c r="J4" i="6"/>
  <c r="J5" i="6"/>
  <c r="J6" i="6"/>
  <c r="J2" i="6"/>
  <c r="H10" i="2" l="1"/>
  <c r="H12" i="2"/>
  <c r="H14" i="2"/>
  <c r="H16" i="2"/>
  <c r="H18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K6" i="2"/>
  <c r="K9" i="2"/>
  <c r="K10" i="2"/>
  <c r="K27" i="2"/>
  <c r="K29" i="2"/>
  <c r="K30" i="2"/>
  <c r="K31" i="2"/>
  <c r="K32" i="2"/>
  <c r="K33" i="2"/>
  <c r="K34" i="2"/>
  <c r="K35" i="2"/>
  <c r="W11" i="2"/>
  <c r="M11" i="2"/>
  <c r="M12" i="2"/>
  <c r="A13" i="2"/>
  <c r="M13" i="2"/>
  <c r="AA13" i="2"/>
  <c r="A14" i="2"/>
  <c r="M14" i="2"/>
  <c r="AB14" i="2"/>
  <c r="A15" i="2"/>
  <c r="W15" i="2" s="1"/>
  <c r="M15" i="2"/>
  <c r="AC15" i="2"/>
  <c r="M16" i="2"/>
  <c r="A17" i="2"/>
  <c r="M17" i="2"/>
  <c r="AA17" i="2"/>
  <c r="A18" i="2"/>
  <c r="M18" i="2"/>
  <c r="A19" i="2"/>
  <c r="Y19" i="2" s="1"/>
  <c r="M19" i="2"/>
  <c r="AB19" i="2"/>
  <c r="A20" i="2"/>
  <c r="M20" i="2"/>
  <c r="A21" i="2"/>
  <c r="M21" i="2"/>
  <c r="W21" i="2"/>
  <c r="AA21" i="2"/>
  <c r="AC21" i="2"/>
  <c r="A22" i="2"/>
  <c r="K22" i="2" s="1"/>
  <c r="M22" i="2"/>
  <c r="A23" i="2"/>
  <c r="M23" i="2"/>
  <c r="AA23" i="2"/>
  <c r="A24" i="2"/>
  <c r="M24" i="2"/>
  <c r="AB24" i="2"/>
  <c r="A25" i="2"/>
  <c r="M25" i="2"/>
  <c r="W25" i="2"/>
  <c r="AA25" i="2"/>
  <c r="AC25" i="2"/>
  <c r="A26" i="2"/>
  <c r="K26" i="2" s="1"/>
  <c r="M26" i="2"/>
  <c r="A27" i="2"/>
  <c r="M27" i="2"/>
  <c r="W27" i="2"/>
  <c r="Y27" i="2"/>
  <c r="AA27" i="2"/>
  <c r="AB27" i="2"/>
  <c r="AC27" i="2"/>
  <c r="A28" i="2"/>
  <c r="M28" i="2"/>
  <c r="L2" i="6"/>
  <c r="AA19" i="2" l="1"/>
  <c r="C17" i="2"/>
  <c r="E17" i="2"/>
  <c r="G17" i="2"/>
  <c r="I17" i="2"/>
  <c r="Q17" i="2"/>
  <c r="C13" i="2"/>
  <c r="E13" i="2"/>
  <c r="G13" i="2"/>
  <c r="I13" i="2"/>
  <c r="Q13" i="2"/>
  <c r="K19" i="2"/>
  <c r="K18" i="2"/>
  <c r="C18" i="2"/>
  <c r="E18" i="2"/>
  <c r="G18" i="2"/>
  <c r="I18" i="2"/>
  <c r="Q18" i="2"/>
  <c r="S18" i="2" s="1"/>
  <c r="U18" i="2" s="1"/>
  <c r="K14" i="2"/>
  <c r="C14" i="2"/>
  <c r="E14" i="2"/>
  <c r="G14" i="2"/>
  <c r="I14" i="2"/>
  <c r="Q14" i="2"/>
  <c r="H17" i="2"/>
  <c r="H13" i="2"/>
  <c r="C20" i="2"/>
  <c r="E20" i="2"/>
  <c r="G20" i="2"/>
  <c r="I20" i="2"/>
  <c r="Q20" i="2"/>
  <c r="C15" i="2"/>
  <c r="E15" i="2"/>
  <c r="G15" i="2"/>
  <c r="I15" i="2"/>
  <c r="Q15" i="2"/>
  <c r="H20" i="2"/>
  <c r="C19" i="2"/>
  <c r="E19" i="2"/>
  <c r="G19" i="2"/>
  <c r="I19" i="2"/>
  <c r="Q19" i="2"/>
  <c r="AA15" i="2"/>
  <c r="H19" i="2"/>
  <c r="H15" i="2"/>
  <c r="AC11" i="2"/>
  <c r="E11" i="2"/>
  <c r="G11" i="2"/>
  <c r="I11" i="2"/>
  <c r="C11" i="2"/>
  <c r="Q11" i="2"/>
  <c r="H11" i="2"/>
  <c r="C8" i="2"/>
  <c r="G8" i="2"/>
  <c r="I8" i="2"/>
  <c r="E8" i="2"/>
  <c r="Q8" i="2"/>
  <c r="E7" i="2"/>
  <c r="C7" i="2"/>
  <c r="I7" i="2"/>
  <c r="G7" i="2"/>
  <c r="Q7" i="2"/>
  <c r="K7" i="2"/>
  <c r="C5" i="2"/>
  <c r="E5" i="2"/>
  <c r="G5" i="2"/>
  <c r="I5" i="2"/>
  <c r="Q5" i="2"/>
  <c r="AD27" i="2"/>
  <c r="S34" i="2"/>
  <c r="S30" i="2"/>
  <c r="S33" i="2"/>
  <c r="S29" i="2"/>
  <c r="S32" i="2"/>
  <c r="S35" i="2"/>
  <c r="S31" i="2"/>
  <c r="T16" i="2"/>
  <c r="T6" i="2"/>
  <c r="T10" i="2"/>
  <c r="T24" i="2"/>
  <c r="K25" i="2"/>
  <c r="S25" i="2" s="1"/>
  <c r="K21" i="2"/>
  <c r="K17" i="2"/>
  <c r="K13" i="2"/>
  <c r="AB25" i="2"/>
  <c r="AD25" i="2" s="1"/>
  <c r="Y23" i="2"/>
  <c r="AB22" i="2"/>
  <c r="AB21" i="2"/>
  <c r="AD21" i="2" s="1"/>
  <c r="AC19" i="2"/>
  <c r="AD19" i="2" s="1"/>
  <c r="W19" i="2"/>
  <c r="Y17" i="2"/>
  <c r="AB15" i="2"/>
  <c r="AD15" i="2" s="1"/>
  <c r="Y13" i="2"/>
  <c r="T26" i="2"/>
  <c r="T22" i="2"/>
  <c r="T27" i="2"/>
  <c r="S27" i="2"/>
  <c r="U27" i="2" s="1"/>
  <c r="K28" i="2"/>
  <c r="K24" i="2"/>
  <c r="S24" i="2" s="1"/>
  <c r="U24" i="2" s="1"/>
  <c r="K20" i="2"/>
  <c r="K16" i="2"/>
  <c r="S16" i="2" s="1"/>
  <c r="U16" i="2" s="1"/>
  <c r="AA16" i="2" s="1"/>
  <c r="K12" i="2"/>
  <c r="S12" i="2" s="1"/>
  <c r="K8" i="2"/>
  <c r="AC23" i="2"/>
  <c r="W23" i="2"/>
  <c r="AC17" i="2"/>
  <c r="W17" i="2"/>
  <c r="AC13" i="2"/>
  <c r="W13" i="2"/>
  <c r="K23" i="2"/>
  <c r="K15" i="2"/>
  <c r="K11" i="2"/>
  <c r="Y25" i="2"/>
  <c r="AB23" i="2"/>
  <c r="Y21" i="2"/>
  <c r="AB17" i="2"/>
  <c r="Y15" i="2"/>
  <c r="AB13" i="2"/>
  <c r="K5" i="2"/>
  <c r="T12" i="2"/>
  <c r="S26" i="2"/>
  <c r="U26" i="2" s="1"/>
  <c r="S22" i="2"/>
  <c r="U22" i="2" s="1"/>
  <c r="Y28" i="2"/>
  <c r="AC28" i="2"/>
  <c r="W28" i="2"/>
  <c r="AA28" i="2"/>
  <c r="W26" i="2"/>
  <c r="AA26" i="2"/>
  <c r="Y26" i="2"/>
  <c r="AC26" i="2"/>
  <c r="AB28" i="2"/>
  <c r="AB26" i="2"/>
  <c r="AC16" i="2"/>
  <c r="W16" i="2"/>
  <c r="W14" i="2"/>
  <c r="AA14" i="2"/>
  <c r="Y14" i="2"/>
  <c r="AC14" i="2"/>
  <c r="AD14" i="2" s="1"/>
  <c r="Y20" i="2"/>
  <c r="AC20" i="2"/>
  <c r="W20" i="2"/>
  <c r="AA20" i="2"/>
  <c r="W18" i="2"/>
  <c r="AA18" i="2"/>
  <c r="Y18" i="2"/>
  <c r="AC18" i="2"/>
  <c r="Y24" i="2"/>
  <c r="AC24" i="2"/>
  <c r="AD24" i="2" s="1"/>
  <c r="W24" i="2"/>
  <c r="AA24" i="2"/>
  <c r="W22" i="2"/>
  <c r="AA22" i="2"/>
  <c r="Y22" i="2"/>
  <c r="AC22" i="2"/>
  <c r="AB20" i="2"/>
  <c r="AB18" i="2"/>
  <c r="W12" i="2"/>
  <c r="AC12" i="2" s="1"/>
  <c r="S14" i="2" l="1"/>
  <c r="U14" i="2" s="1"/>
  <c r="T19" i="2"/>
  <c r="T14" i="2"/>
  <c r="T18" i="2"/>
  <c r="AD23" i="2"/>
  <c r="AD13" i="2"/>
  <c r="AD18" i="2"/>
  <c r="AD17" i="2"/>
  <c r="AD28" i="2"/>
  <c r="Y16" i="2"/>
  <c r="Z25" i="2"/>
  <c r="U25" i="2"/>
  <c r="V25" i="2" s="1"/>
  <c r="X25" i="2" s="1"/>
  <c r="Z35" i="2"/>
  <c r="U35" i="2"/>
  <c r="V35" i="2" s="1"/>
  <c r="X35" i="2" s="1"/>
  <c r="Z30" i="2"/>
  <c r="U30" i="2"/>
  <c r="V30" i="2" s="1"/>
  <c r="X30" i="2" s="1"/>
  <c r="U32" i="2"/>
  <c r="V32" i="2" s="1"/>
  <c r="X32" i="2" s="1"/>
  <c r="Z34" i="2"/>
  <c r="U34" i="2"/>
  <c r="V34" i="2" s="1"/>
  <c r="X34" i="2" s="1"/>
  <c r="AA12" i="2"/>
  <c r="U12" i="2"/>
  <c r="V12" i="2" s="1"/>
  <c r="Z12" i="2" s="1"/>
  <c r="Z29" i="2"/>
  <c r="U29" i="2"/>
  <c r="V29" i="2" s="1"/>
  <c r="X29" i="2" s="1"/>
  <c r="U31" i="2"/>
  <c r="V31" i="2" s="1"/>
  <c r="X31" i="2" s="1"/>
  <c r="Z33" i="2"/>
  <c r="U33" i="2"/>
  <c r="V33" i="2" s="1"/>
  <c r="X33" i="2" s="1"/>
  <c r="S28" i="2"/>
  <c r="Z31" i="2"/>
  <c r="V22" i="2"/>
  <c r="X22" i="2" s="1"/>
  <c r="T9" i="2"/>
  <c r="T25" i="2"/>
  <c r="T5" i="2"/>
  <c r="Z32" i="2"/>
  <c r="T15" i="2"/>
  <c r="T23" i="2"/>
  <c r="T17" i="2"/>
  <c r="T11" i="2"/>
  <c r="V27" i="2"/>
  <c r="X27" i="2" s="1"/>
  <c r="Y12" i="2"/>
  <c r="S11" i="2"/>
  <c r="Y11" i="2" s="1"/>
  <c r="S13" i="2"/>
  <c r="S15" i="2"/>
  <c r="T20" i="2"/>
  <c r="V26" i="2"/>
  <c r="X26" i="2" s="1"/>
  <c r="T28" i="2"/>
  <c r="S19" i="2"/>
  <c r="T7" i="2"/>
  <c r="S21" i="2"/>
  <c r="T4" i="2"/>
  <c r="S23" i="2"/>
  <c r="S17" i="2"/>
  <c r="AD22" i="2"/>
  <c r="V18" i="2"/>
  <c r="X18" i="2" s="1"/>
  <c r="T21" i="2"/>
  <c r="T13" i="2"/>
  <c r="AD26" i="2"/>
  <c r="V14" i="2"/>
  <c r="X14" i="2" s="1"/>
  <c r="S20" i="2"/>
  <c r="T8" i="2"/>
  <c r="V24" i="2"/>
  <c r="X24" i="2" s="1"/>
  <c r="Z24" i="2"/>
  <c r="Z18" i="2"/>
  <c r="Z14" i="2"/>
  <c r="Z26" i="2"/>
  <c r="Z22" i="2"/>
  <c r="Z27" i="2"/>
  <c r="V16" i="2"/>
  <c r="Z16" i="2" s="1"/>
  <c r="AD20" i="2"/>
  <c r="X16" i="2" l="1"/>
  <c r="AB16" i="2"/>
  <c r="AD16" i="2" s="1"/>
  <c r="U20" i="2"/>
  <c r="V20" i="2" s="1"/>
  <c r="X20" i="2" s="1"/>
  <c r="U23" i="2"/>
  <c r="V23" i="2" s="1"/>
  <c r="X23" i="2" s="1"/>
  <c r="U19" i="2"/>
  <c r="V19" i="2" s="1"/>
  <c r="X19" i="2" s="1"/>
  <c r="Z15" i="2"/>
  <c r="U15" i="2"/>
  <c r="V15" i="2" s="1"/>
  <c r="X15" i="2" s="1"/>
  <c r="U28" i="2"/>
  <c r="V28" i="2" s="1"/>
  <c r="X28" i="2" s="1"/>
  <c r="U21" i="2"/>
  <c r="V21" i="2" s="1"/>
  <c r="X21" i="2" s="1"/>
  <c r="U13" i="2"/>
  <c r="V13" i="2" s="1"/>
  <c r="X13" i="2" s="1"/>
  <c r="Z17" i="2"/>
  <c r="U17" i="2"/>
  <c r="V17" i="2" s="1"/>
  <c r="X17" i="2" s="1"/>
  <c r="U11" i="2"/>
  <c r="Z28" i="2"/>
  <c r="X12" i="2"/>
  <c r="AB12" i="2"/>
  <c r="AD12" i="2" s="1"/>
  <c r="Z21" i="2"/>
  <c r="Z11" i="2"/>
  <c r="Z13" i="2"/>
  <c r="Z19" i="2"/>
  <c r="Z23" i="2"/>
  <c r="Z20" i="2"/>
  <c r="V11" i="2" l="1"/>
  <c r="AA11" i="2"/>
  <c r="L3" i="6"/>
  <c r="L4" i="6"/>
  <c r="L8" i="6"/>
  <c r="J9" i="6"/>
  <c r="L9" i="6" s="1"/>
  <c r="J10" i="6"/>
  <c r="L10" i="6" s="1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X11" i="2" l="1"/>
  <c r="AB11" i="2"/>
  <c r="AD11" i="2" s="1"/>
  <c r="L7" i="6"/>
  <c r="L6" i="6"/>
  <c r="L5" i="6"/>
  <c r="K4" i="2"/>
  <c r="K31" i="6"/>
  <c r="K32" i="6"/>
  <c r="K33" i="6"/>
  <c r="K34" i="6"/>
  <c r="K35" i="6"/>
  <c r="W5" i="2"/>
  <c r="W6" i="2"/>
  <c r="AC6" i="2" s="1"/>
  <c r="W7" i="2"/>
  <c r="W8" i="2"/>
  <c r="AC8" i="2" s="1"/>
  <c r="W9" i="2"/>
  <c r="W10" i="2"/>
  <c r="W4" i="2"/>
  <c r="M5" i="2"/>
  <c r="M6" i="2"/>
  <c r="M7" i="2"/>
  <c r="M8" i="2"/>
  <c r="M9" i="2"/>
  <c r="M10" i="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2" i="11"/>
  <c r="M4" i="2"/>
  <c r="X2" i="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P9" i="2" l="1"/>
  <c r="P17" i="2"/>
  <c r="P21" i="2"/>
  <c r="P33" i="2"/>
  <c r="P10" i="2"/>
  <c r="P14" i="2"/>
  <c r="P18" i="2"/>
  <c r="P22" i="2"/>
  <c r="P26" i="2"/>
  <c r="P30" i="2"/>
  <c r="P34" i="2"/>
  <c r="P11" i="2"/>
  <c r="P15" i="2"/>
  <c r="P19" i="2"/>
  <c r="P23" i="2"/>
  <c r="P27" i="2"/>
  <c r="P31" i="2"/>
  <c r="P35" i="2"/>
  <c r="P25" i="2"/>
  <c r="P6" i="2"/>
  <c r="P12" i="2"/>
  <c r="P16" i="2"/>
  <c r="P20" i="2"/>
  <c r="P24" i="2"/>
  <c r="P28" i="2"/>
  <c r="P32" i="2"/>
  <c r="P4" i="2"/>
  <c r="P13" i="2"/>
  <c r="P29" i="2"/>
  <c r="P8" i="2"/>
  <c r="P7" i="2"/>
  <c r="P5" i="2"/>
  <c r="H9" i="2"/>
  <c r="AC10" i="2"/>
  <c r="AC4" i="2"/>
  <c r="AC9" i="2"/>
  <c r="AC5" i="2"/>
  <c r="AC7" i="2"/>
  <c r="K10" i="6"/>
  <c r="K30" i="6"/>
  <c r="K26" i="6"/>
  <c r="K22" i="6"/>
  <c r="K18" i="6"/>
  <c r="K14" i="6"/>
  <c r="K6" i="6"/>
  <c r="K25" i="6"/>
  <c r="K27" i="6"/>
  <c r="K23" i="6"/>
  <c r="K19" i="6"/>
  <c r="K15" i="6"/>
  <c r="K11" i="6"/>
  <c r="K29" i="6"/>
  <c r="K21" i="6"/>
  <c r="K17" i="6"/>
  <c r="K13" i="6"/>
  <c r="K9" i="6"/>
  <c r="K28" i="6"/>
  <c r="K24" i="6"/>
  <c r="K20" i="6"/>
  <c r="K16" i="6"/>
  <c r="K12" i="6"/>
  <c r="K2" i="6"/>
  <c r="K4" i="6"/>
  <c r="K3" i="6"/>
  <c r="W2" i="2"/>
  <c r="K5" i="6"/>
  <c r="AC2" i="2" l="1"/>
  <c r="S6" i="2"/>
  <c r="U6" i="2" s="1"/>
  <c r="S9" i="2"/>
  <c r="U9" i="2" s="1"/>
  <c r="S10" i="2" l="1"/>
  <c r="U10" i="2" s="1"/>
  <c r="S4" i="2"/>
  <c r="U4" i="2" s="1"/>
  <c r="AA4" i="2" l="1"/>
  <c r="Y9" i="2"/>
  <c r="Y10" i="2"/>
  <c r="Y4" i="2"/>
  <c r="V4" i="2" l="1"/>
  <c r="Z4" i="2" s="1"/>
  <c r="V9" i="2"/>
  <c r="AA9" i="2"/>
  <c r="V10" i="2"/>
  <c r="AA10" i="2"/>
  <c r="E9" i="9"/>
  <c r="E8" i="9"/>
  <c r="E7" i="9"/>
  <c r="E6" i="9"/>
  <c r="E5" i="9"/>
  <c r="E4" i="9"/>
  <c r="E3" i="9"/>
  <c r="Z10" i="2" l="1"/>
  <c r="X10" i="2"/>
  <c r="X4" i="2"/>
  <c r="Z9" i="2"/>
  <c r="X9" i="2"/>
  <c r="AB9" i="2"/>
  <c r="AD9" i="2" s="1"/>
  <c r="AB10" i="2"/>
  <c r="AD10" i="2" s="1"/>
  <c r="AB4" i="2"/>
  <c r="AD4" i="2" l="1"/>
  <c r="Y2" i="1"/>
  <c r="S5" i="2" s="1"/>
  <c r="U5" i="2" l="1"/>
  <c r="Y5" i="2"/>
  <c r="S7" i="2"/>
  <c r="U7" i="2" s="1"/>
  <c r="S8" i="2"/>
  <c r="U8" i="2" s="1"/>
  <c r="Y6" i="2"/>
  <c r="V5" i="2" l="1"/>
  <c r="Z5" i="2" s="1"/>
  <c r="AA5" i="2"/>
  <c r="Y7" i="2"/>
  <c r="U2" i="2"/>
  <c r="Y8" i="2"/>
  <c r="V7" i="2"/>
  <c r="AA7" i="2"/>
  <c r="V6" i="2"/>
  <c r="AA6" i="2"/>
  <c r="Y2" i="2" l="1"/>
  <c r="AB5" i="2"/>
  <c r="AD5" i="2" s="1"/>
  <c r="X5" i="2"/>
  <c r="AA8" i="2"/>
  <c r="AA2" i="2" s="1"/>
  <c r="V8" i="2"/>
  <c r="V2" i="2" s="1"/>
  <c r="X6" i="2"/>
  <c r="Z6" i="2"/>
  <c r="Z7" i="2"/>
  <c r="X7" i="2"/>
  <c r="AB7" i="2"/>
  <c r="AD7" i="2" s="1"/>
  <c r="AB6" i="2"/>
  <c r="AB8" i="2" l="1"/>
  <c r="AD8" i="2" s="1"/>
  <c r="X8" i="2"/>
  <c r="X2" i="2" s="1"/>
  <c r="Z8" i="2"/>
  <c r="Z2" i="2" s="1"/>
  <c r="AD6" i="2"/>
  <c r="AB2" i="2" l="1"/>
  <c r="AD2" i="2"/>
</calcChain>
</file>

<file path=xl/sharedStrings.xml><?xml version="1.0" encoding="utf-8"?>
<sst xmlns="http://schemas.openxmlformats.org/spreadsheetml/2006/main" count="448" uniqueCount="165">
  <si>
    <t>количество в месяц</t>
  </si>
  <si>
    <t>Должность</t>
  </si>
  <si>
    <t>Часов в месяц</t>
  </si>
  <si>
    <t>Комментарии</t>
  </si>
  <si>
    <t>Фактическая численность</t>
  </si>
  <si>
    <t>Фактическая загрузка</t>
  </si>
  <si>
    <t>п/п</t>
  </si>
  <si>
    <t>Разница между целевой и фактической</t>
  </si>
  <si>
    <t>Потери мин</t>
  </si>
  <si>
    <t>Трудозатраты в месяц в минутах</t>
  </si>
  <si>
    <t>Трудозатраты в месяц в часах</t>
  </si>
  <si>
    <t>количество в день</t>
  </si>
  <si>
    <t>Количество задействованных в операции сотрудников</t>
  </si>
  <si>
    <t>Бизнес-процесс/блок работ</t>
  </si>
  <si>
    <t>Операции/работы</t>
  </si>
  <si>
    <t>количество в неделю</t>
  </si>
  <si>
    <t>Операции</t>
  </si>
  <si>
    <t>Количество числом</t>
  </si>
  <si>
    <t>Количество в %</t>
  </si>
  <si>
    <t>Количество</t>
  </si>
  <si>
    <t>Количество чеков</t>
  </si>
  <si>
    <t>консультация покупателя простая - помочь найти товар</t>
  </si>
  <si>
    <t>Количество консультаций</t>
  </si>
  <si>
    <t>консультация покупателя средняя - (покупатель знает что ему надо) показать товар и выписать его</t>
  </si>
  <si>
    <t>консультация покупателя - показать, рассказать, выписать 1 товар (н-р, панели выбирает покупатель)</t>
  </si>
  <si>
    <t>комплексная покупка - показать, рассказать, выписать несколько наименований</t>
  </si>
  <si>
    <t xml:space="preserve">отпуск товара-помощь покупателю, н-р, донести до машины </t>
  </si>
  <si>
    <t>отпуск товара с оплаченным чеком ПРОСТОЙ ТОВАР - покупатель может унести сам</t>
  </si>
  <si>
    <t>отпуск товара с оплаченным чеком ТЯЖЕЛЫЙ ТОВАР(всегда занято 2 чел: прод/грузч. или прод/прод с использованием штабелера) ср.время на 1 поддон - 2мин40 сек</t>
  </si>
  <si>
    <t>Итого</t>
  </si>
  <si>
    <t>Коэффициент больничных</t>
  </si>
  <si>
    <t>Коэффициент неравномерности</t>
  </si>
  <si>
    <t>Коэффициент выполнения норм</t>
  </si>
  <si>
    <t>Применить</t>
  </si>
  <si>
    <t xml:space="preserve">Больничный </t>
  </si>
  <si>
    <t>Ежегодный отпуск</t>
  </si>
  <si>
    <t>Месячный фонд рабочего времени</t>
  </si>
  <si>
    <t>+</t>
  </si>
  <si>
    <t>Отпуск без сохранения з/п</t>
  </si>
  <si>
    <t>Коэффициент отпусков и больничных</t>
  </si>
  <si>
    <t>Квалификация</t>
  </si>
  <si>
    <t>к/нер.</t>
  </si>
  <si>
    <t>-</t>
  </si>
  <si>
    <t>Фактическая стоимость</t>
  </si>
  <si>
    <t>Неустранимые перерывы в часах</t>
  </si>
  <si>
    <t>Время для отдыха и приема пищи</t>
  </si>
  <si>
    <t>Время на отдых и личные надобности</t>
  </si>
  <si>
    <t>Коэффициент времени на отдыха и личные надобности</t>
  </si>
  <si>
    <t>Неустранимые перерывы в %</t>
  </si>
  <si>
    <t>Коэффициент ежегодных отпусков</t>
  </si>
  <si>
    <t>Коэффициент отпусков без сохранения з/п</t>
  </si>
  <si>
    <t>Ранние уходы</t>
  </si>
  <si>
    <t>Неслужебные разговоры</t>
  </si>
  <si>
    <t>Опоздания</t>
  </si>
  <si>
    <t>Разговоры по телефону</t>
  </si>
  <si>
    <t>Отдых сверх норматива</t>
  </si>
  <si>
    <t>Исправление ошибок в работе</t>
  </si>
  <si>
    <t>Потери рабочего времени в часах</t>
  </si>
  <si>
    <t>Потери рабочего времени в %</t>
  </si>
  <si>
    <t>ОРМ % на смену/день</t>
  </si>
  <si>
    <t>ОРМ за смену/день (мин)</t>
  </si>
  <si>
    <t>ОРМ на одну операцию (мин)</t>
  </si>
  <si>
    <t>ПЗВ % на смену/день</t>
  </si>
  <si>
    <t>ПЗВ за смену/день (мин.)</t>
  </si>
  <si>
    <t>ПЗВ на одну операцию (мин)</t>
  </si>
  <si>
    <t>ПЗВ+ОРМ в месяц (мин)</t>
  </si>
  <si>
    <t>Смен/дней в месяц в среднем</t>
  </si>
  <si>
    <t>Среднемесячное количество смен за год</t>
  </si>
  <si>
    <t>Кадровое делопроизводство</t>
  </si>
  <si>
    <t>Подготовка кадровых документов при приеме на работу</t>
  </si>
  <si>
    <t>Подготовка кадровых документов при увольнении</t>
  </si>
  <si>
    <t>Выдача сотрудникам справок</t>
  </si>
  <si>
    <t xml:space="preserve">Подготовка приказов об отпусках и командировках </t>
  </si>
  <si>
    <t>Внесение изменений в кадровые документы  (типовые положения, договора)</t>
  </si>
  <si>
    <t>Разработка внутренних документов</t>
  </si>
  <si>
    <t>Разработка документов с "нуля" до первой редакции (положения, регламенты, кодексы, стандарты)</t>
  </si>
  <si>
    <t>Мотивация персонала</t>
  </si>
  <si>
    <t>Разработка системы мотивации от первичного анализа до пилотных расчетов</t>
  </si>
  <si>
    <t>Заработная плата</t>
  </si>
  <si>
    <t>Ежемесячный контроль исполнения бюджета затрат на персонал - подготовка отчета с комментариями</t>
  </si>
  <si>
    <t>Корпоративное обучение</t>
  </si>
  <si>
    <t>Поиск провайдеров для проведения внешнего обучения (семинара, тренинга)</t>
  </si>
  <si>
    <t>Переговоры с провайдерами, согласование и заключение договора</t>
  </si>
  <si>
    <t>Штатное расписание и организационная структура</t>
  </si>
  <si>
    <t>Подготовка проекта штатного расписания</t>
  </si>
  <si>
    <t>Обсуждение и согласование штатного расписания, подготовка окончательной редакции</t>
  </si>
  <si>
    <t>Оформление организационной структуры в MS Visio</t>
  </si>
  <si>
    <t>Подбор персонала</t>
  </si>
  <si>
    <t>Поиск и подбор соискателей для замещения  вакантных должностей рабочих</t>
  </si>
  <si>
    <t>Трудовые споры</t>
  </si>
  <si>
    <t>Подготовка документов для судебных органов и проверок</t>
  </si>
  <si>
    <t>Участие в судебных заседаниях</t>
  </si>
  <si>
    <t>Аттестация и оценка персонала</t>
  </si>
  <si>
    <t>Присутствие во время оценки и аттестации. Ведение протоколов</t>
  </si>
  <si>
    <t>Корпоративные мероприятия</t>
  </si>
  <si>
    <t>Поиск провайдеров для проведения корпоративных мероприятий</t>
  </si>
  <si>
    <t>Сопровождение провайдера во время проведение мероприятия</t>
  </si>
  <si>
    <t>Самостоятельная подготовка к мероприятию - подготовка сценария, поиска площадки, разработка программы</t>
  </si>
  <si>
    <t>Управленческое консультирование</t>
  </si>
  <si>
    <t>Консультирование руководителей по вопросам применения трудового законодательства</t>
  </si>
  <si>
    <t>Консультирование руководителя компании по вопросам управления персоналом</t>
  </si>
  <si>
    <t>Кадровая аналитика</t>
  </si>
  <si>
    <t>Должность исполнителя</t>
  </si>
  <si>
    <t>Единицы измерения объема работы</t>
  </si>
  <si>
    <t>количество документов</t>
  </si>
  <si>
    <t>Норма времени min</t>
  </si>
  <si>
    <t>Норма времени max</t>
  </si>
  <si>
    <t>Количественный показатель объема работы</t>
  </si>
  <si>
    <t>Директор по персоналу</t>
  </si>
  <si>
    <t>Менеджер по персоналу</t>
  </si>
  <si>
    <t>Инспектор отдела кадров</t>
  </si>
  <si>
    <t>Специалист по обучению</t>
  </si>
  <si>
    <t>Специалист по подбору персонала</t>
  </si>
  <si>
    <t>Начальник отдела подбора персонала</t>
  </si>
  <si>
    <t>Начальник отдела обучения и развития персонала</t>
  </si>
  <si>
    <t>количество программ</t>
  </si>
  <si>
    <t>количество сессий</t>
  </si>
  <si>
    <t>Среднее время</t>
  </si>
  <si>
    <t>Названия строк</t>
  </si>
  <si>
    <t>(пусто)</t>
  </si>
  <si>
    <t>Общий итог</t>
  </si>
  <si>
    <t>Сумма по полю Трудозатраты в месяц в часах</t>
  </si>
  <si>
    <t>Уровень квалификации</t>
  </si>
  <si>
    <t>Вид нормы времени</t>
  </si>
  <si>
    <t>время на 1 документ</t>
  </si>
  <si>
    <t>Норматив на 1 вакансию</t>
  </si>
  <si>
    <t>время на выполнение</t>
  </si>
  <si>
    <t xml:space="preserve">Проведение учебных сессий (тренингов, семинаров или занятий) </t>
  </si>
  <si>
    <t>время на 1 программу</t>
  </si>
  <si>
    <t>время расчета на 1 работника</t>
  </si>
  <si>
    <t>Параметр объема работы за период</t>
  </si>
  <si>
    <t>Ненормирумые операции</t>
  </si>
  <si>
    <t>Расчетная численность</t>
  </si>
  <si>
    <t>Расчтеная численность округленная</t>
  </si>
  <si>
    <t>Точная расчетная стоимость</t>
  </si>
  <si>
    <t>Расчетная  стоимость</t>
  </si>
  <si>
    <t>Расчетная загрузка</t>
  </si>
  <si>
    <t>время на 1 должность</t>
  </si>
  <si>
    <t>Расчет зарплат и бонусов сотрудникам, расчет заработной платы которых неавтоматизирован</t>
  </si>
  <si>
    <t>Сбор и обработка данных для формирования бюджета подразделения</t>
  </si>
  <si>
    <t xml:space="preserve">Разработка учебных программ  для проведения внутреннего обучения </t>
  </si>
  <si>
    <t>время одной сессии</t>
  </si>
  <si>
    <t>Организация обучения - подготовка и оборудование помещения, сбор участников</t>
  </si>
  <si>
    <t>норматив на 1 вакансию</t>
  </si>
  <si>
    <t>Подготовка форм для оценки персонала</t>
  </si>
  <si>
    <t>затраты времени</t>
  </si>
  <si>
    <t>перидичность выполнения этой работы</t>
  </si>
  <si>
    <t>время на 1 консультацию</t>
  </si>
  <si>
    <t>Подготовка аналитического отчета</t>
  </si>
  <si>
    <t>Разработка формы аналитического отчета</t>
  </si>
  <si>
    <t>Подготовка презентации с визуализированными данными аналитики</t>
  </si>
  <si>
    <t xml:space="preserve">Внесение правок в документы первой редакции по итогам согласований </t>
  </si>
  <si>
    <t>Подготовка отчета с оценкой конкурентоспособности заработной платы</t>
  </si>
  <si>
    <t>время выполнения работы</t>
  </si>
  <si>
    <t>количество вакансий, которые должны быть закрыты</t>
  </si>
  <si>
    <t>количество документов за период</t>
  </si>
  <si>
    <t>Количество сотрудников, по которым делается расчет</t>
  </si>
  <si>
    <t>Экономист по труда и заработной плате</t>
  </si>
  <si>
    <t>время на 1 подразделение</t>
  </si>
  <si>
    <t>Поиск и подбор соискателей для замещения  вакантных должностей руководителей и специалистов</t>
  </si>
  <si>
    <t>Экономист по труду и заработной плате</t>
  </si>
  <si>
    <t>Расчетная экономия ФОТ</t>
  </si>
  <si>
    <t>периодичность выполнения этой работы</t>
  </si>
  <si>
    <t>Рабочее время</t>
  </si>
  <si>
    <t>Потери рабочего времени за рабочий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</si>
</sst>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.0"/>
    <numFmt numFmtId="165" formatCode="#,##0\ &quot;₽&quot;"/>
    <numFmt numFmtId="166" formatCode="_-* #,##0\ [$₽-419]_-;\-* #,##0\ [$₽-419]_-;_-* &quot;-&quot;??\ [$₽-419]_-;_-@_-"/>
    <numFmt numFmtId="167" formatCode="_-* #,##0\ &quot;₽&quot;_-;\-* #,##0\ &quot;₽&quot;_-;_-* &quot;-&quot;??\ &quot;₽&quot;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5" fillId="0" borderId="0" xfId="0" applyFont="1"/>
    <xf numFmtId="0" fontId="7" fillId="3" borderId="1" xfId="0" applyFont="1" applyFill="1" applyBorder="1" applyAlignment="1">
      <alignment horizontal="justify" vertical="center"/>
    </xf>
    <xf numFmtId="164" fontId="7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1" fontId="7" fillId="0" borderId="1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12" fillId="2" borderId="1" xfId="0" applyFont="1" applyFill="1" applyBorder="1" applyAlignment="1">
      <alignment horizontal="center" vertical="center"/>
    </xf>
    <xf numFmtId="9" fontId="7" fillId="5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  <protection locked="0" hidden="1"/>
    </xf>
    <xf numFmtId="9" fontId="0" fillId="0" borderId="0" xfId="1" applyFont="1"/>
    <xf numFmtId="0" fontId="2" fillId="0" borderId="1" xfId="0" applyFont="1" applyFill="1" applyBorder="1" applyAlignment="1" applyProtection="1">
      <alignment horizontal="center" vertical="center"/>
      <protection locked="0" hidden="1"/>
    </xf>
    <xf numFmtId="2" fontId="2" fillId="0" borderId="1" xfId="0" applyNumberFormat="1" applyFont="1" applyFill="1" applyBorder="1" applyAlignment="1" applyProtection="1">
      <alignment horizontal="center" vertical="center"/>
      <protection locked="0" hidden="1"/>
    </xf>
    <xf numFmtId="2" fontId="2" fillId="0" borderId="1" xfId="0" applyNumberFormat="1" applyFont="1" applyFill="1" applyBorder="1" applyAlignment="1" applyProtection="1">
      <alignment horizontal="justify" vertical="center"/>
      <protection locked="0" hidden="1"/>
    </xf>
    <xf numFmtId="0" fontId="0" fillId="0" borderId="0" xfId="0" applyNumberFormat="1"/>
    <xf numFmtId="165" fontId="7" fillId="5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2" fillId="3" borderId="4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justify" vertical="center"/>
    </xf>
    <xf numFmtId="0" fontId="2" fillId="4" borderId="5" xfId="0" applyFont="1" applyFill="1" applyBorder="1" applyAlignment="1">
      <alignment horizontal="justify" vertical="center"/>
    </xf>
    <xf numFmtId="0" fontId="2" fillId="3" borderId="8" xfId="0" applyFont="1" applyFill="1" applyBorder="1" applyAlignment="1">
      <alignment horizontal="justify" vertical="center"/>
    </xf>
    <xf numFmtId="1" fontId="14" fillId="12" borderId="0" xfId="0" applyNumberFormat="1" applyFont="1" applyFill="1" applyAlignment="1">
      <alignment horizontal="center"/>
    </xf>
    <xf numFmtId="9" fontId="16" fillId="12" borderId="0" xfId="1" applyFont="1" applyFill="1" applyAlignment="1">
      <alignment horizontal="center"/>
    </xf>
    <xf numFmtId="0" fontId="2" fillId="3" borderId="7" xfId="0" applyFont="1" applyFill="1" applyBorder="1" applyAlignment="1">
      <alignment horizontal="justify" vertical="center"/>
    </xf>
    <xf numFmtId="0" fontId="2" fillId="13" borderId="7" xfId="0" applyFont="1" applyFill="1" applyBorder="1" applyAlignment="1">
      <alignment horizontal="justify" vertical="center"/>
    </xf>
    <xf numFmtId="0" fontId="2" fillId="13" borderId="7" xfId="0" applyNumberFormat="1" applyFont="1" applyFill="1" applyBorder="1" applyAlignment="1">
      <alignment horizontal="justify" vertical="center"/>
    </xf>
    <xf numFmtId="0" fontId="2" fillId="9" borderId="7" xfId="0" applyFont="1" applyFill="1" applyBorder="1" applyAlignment="1">
      <alignment horizontal="justify" vertical="center"/>
    </xf>
    <xf numFmtId="166" fontId="14" fillId="12" borderId="0" xfId="0" applyNumberFormat="1" applyFont="1" applyFill="1" applyAlignment="1"/>
    <xf numFmtId="9" fontId="0" fillId="0" borderId="0" xfId="1" applyNumberFormat="1" applyFont="1"/>
    <xf numFmtId="9" fontId="0" fillId="0" borderId="0" xfId="0" applyNumberFormat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justify" vertical="center" textRotation="90"/>
    </xf>
    <xf numFmtId="0" fontId="0" fillId="0" borderId="0" xfId="0" applyProtection="1"/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15" borderId="1" xfId="0" applyNumberFormat="1" applyFont="1" applyFill="1" applyBorder="1" applyAlignment="1">
      <alignment horizontal="center" vertical="center"/>
    </xf>
    <xf numFmtId="9" fontId="15" fillId="15" borderId="1" xfId="1" applyFont="1" applyFill="1" applyBorder="1" applyAlignment="1">
      <alignment horizontal="center" vertical="center"/>
    </xf>
    <xf numFmtId="0" fontId="7" fillId="15" borderId="1" xfId="0" applyFont="1" applyFill="1" applyBorder="1" applyAlignment="1" applyProtection="1">
      <alignment vertical="center"/>
      <protection hidden="1"/>
    </xf>
    <xf numFmtId="1" fontId="7" fillId="1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justify" vertical="center"/>
      <protection locked="0"/>
    </xf>
    <xf numFmtId="0" fontId="12" fillId="2" borderId="2" xfId="0" applyFont="1" applyFill="1" applyBorder="1" applyAlignment="1" applyProtection="1">
      <alignment horizontal="justify" vertical="center"/>
    </xf>
    <xf numFmtId="0" fontId="7" fillId="15" borderId="1" xfId="0" applyFont="1" applyFill="1" applyBorder="1" applyAlignment="1" applyProtection="1">
      <alignment horizontal="left" vertical="center"/>
      <protection hidden="1"/>
    </xf>
    <xf numFmtId="1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9" fontId="7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justify" vertical="center"/>
      <protection locked="0"/>
    </xf>
    <xf numFmtId="9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justify" vertical="center"/>
      <protection locked="0"/>
    </xf>
    <xf numFmtId="0" fontId="6" fillId="0" borderId="1" xfId="0" applyFont="1" applyFill="1" applyBorder="1" applyAlignment="1" applyProtection="1">
      <alignment horizontal="justify" vertical="center"/>
      <protection locked="0"/>
    </xf>
    <xf numFmtId="0" fontId="10" fillId="0" borderId="1" xfId="0" applyFont="1" applyFill="1" applyBorder="1" applyAlignment="1" applyProtection="1">
      <alignment horizontal="justify" vertical="center"/>
      <protection locked="0"/>
    </xf>
    <xf numFmtId="0" fontId="2" fillId="13" borderId="7" xfId="0" applyFont="1" applyFill="1" applyBorder="1" applyAlignment="1" applyProtection="1">
      <alignment horizontal="justify" vertical="center"/>
    </xf>
    <xf numFmtId="9" fontId="2" fillId="5" borderId="1" xfId="1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6" fillId="11" borderId="7" xfId="0" applyFont="1" applyFill="1" applyBorder="1" applyAlignment="1" applyProtection="1">
      <alignment horizontal="justify" vertical="center"/>
    </xf>
    <xf numFmtId="164" fontId="2" fillId="5" borderId="1" xfId="1" applyNumberFormat="1" applyFont="1" applyFill="1" applyBorder="1" applyAlignment="1" applyProtection="1">
      <alignment horizontal="center" vertical="center"/>
    </xf>
    <xf numFmtId="9" fontId="2" fillId="5" borderId="1" xfId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167" fontId="0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164" fontId="0" fillId="0" borderId="0" xfId="0" applyNumberFormat="1"/>
    <xf numFmtId="1" fontId="0" fillId="0" borderId="0" xfId="0" applyNumberFormat="1"/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 wrapText="1"/>
    </xf>
    <xf numFmtId="9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9" fontId="5" fillId="8" borderId="9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1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 vertical="center"/>
    </xf>
    <xf numFmtId="9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/>
      <protection locked="0"/>
    </xf>
    <xf numFmtId="0" fontId="18" fillId="0" borderId="1" xfId="0" applyFont="1" applyFill="1" applyBorder="1" applyAlignment="1" applyProtection="1">
      <alignment horizontal="justify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9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/>
      <protection locked="0"/>
    </xf>
    <xf numFmtId="9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</cellXfs>
  <cellStyles count="3">
    <cellStyle name="Денежный" xfId="2" builtinId="4"/>
    <cellStyle name="Обычный" xfId="0" builtinId="0"/>
    <cellStyle name="Процентный" xfId="1" builtinId="5"/>
  </cellStyles>
  <dxfs count="85"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64" formatCode="0.0"/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theme="9" tint="0.59996337778862885"/>
      </font>
    </dxf>
    <dxf>
      <font>
        <color theme="0"/>
      </font>
      <fill>
        <patternFill>
          <bgColor theme="6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[Калькулятор 2_0_Kадры.xlsx]Диаграммы!СводнаяТаблица1</c:name>
    <c:fmtId val="4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numFmt formatCode="0%" sourceLinked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</c:dLbl>
      </c:pivotFmt>
      <c:pivotFmt>
        <c:idx val="1"/>
      </c:pivotFmt>
    </c:pivotFmts>
    <c:plotArea>
      <c:layout/>
      <c:pieChart>
        <c:varyColors val="1"/>
        <c:ser>
          <c:idx val="0"/>
          <c:order val="0"/>
          <c:tx>
            <c:strRef>
              <c:f>Диаграммы!$C$3</c:f>
              <c:strCache>
                <c:ptCount val="1"/>
                <c:pt idx="0">
                  <c:v>Итог</c:v>
                </c:pt>
              </c:strCache>
            </c:strRef>
          </c:tx>
          <c:explosion val="10"/>
          <c:dLbls>
            <c:numFmt formatCode="0%" sourceLinked="0"/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Диаграммы!$B$4:$B$17</c:f>
              <c:strCache>
                <c:ptCount val="13"/>
                <c:pt idx="0">
                  <c:v>Аттестация и оценка персонала</c:v>
                </c:pt>
                <c:pt idx="1">
                  <c:v>Заработная плата</c:v>
                </c:pt>
                <c:pt idx="2">
                  <c:v>Кадровая аналитика</c:v>
                </c:pt>
                <c:pt idx="3">
                  <c:v>Кадровое делопроизводство</c:v>
                </c:pt>
                <c:pt idx="4">
                  <c:v>Корпоративное обучение</c:v>
                </c:pt>
                <c:pt idx="5">
                  <c:v>Корпоративные мероприятия</c:v>
                </c:pt>
                <c:pt idx="6">
                  <c:v>Мотивация персонала</c:v>
                </c:pt>
                <c:pt idx="7">
                  <c:v>Подбор персонала</c:v>
                </c:pt>
                <c:pt idx="8">
                  <c:v>Разработка внутренних документов</c:v>
                </c:pt>
                <c:pt idx="9">
                  <c:v>Трудовые споры</c:v>
                </c:pt>
                <c:pt idx="10">
                  <c:v>Управленческое консультирование</c:v>
                </c:pt>
                <c:pt idx="11">
                  <c:v>Штатное расписание и организационная структура</c:v>
                </c:pt>
                <c:pt idx="12">
                  <c:v>(пусто)</c:v>
                </c:pt>
              </c:strCache>
            </c:strRef>
          </c:cat>
          <c:val>
            <c:numRef>
              <c:f>Диаграммы!$C$4:$C$17</c:f>
              <c:numCache>
                <c:formatCode>0</c:formatCode>
                <c:ptCount val="13"/>
                <c:pt idx="0">
                  <c:v>22.333333333333332</c:v>
                </c:pt>
                <c:pt idx="1">
                  <c:v>21.375</c:v>
                </c:pt>
                <c:pt idx="2">
                  <c:v>26</c:v>
                </c:pt>
                <c:pt idx="3">
                  <c:v>31.366666666666667</c:v>
                </c:pt>
                <c:pt idx="4">
                  <c:v>35</c:v>
                </c:pt>
                <c:pt idx="5">
                  <c:v>55</c:v>
                </c:pt>
                <c:pt idx="6">
                  <c:v>10.5</c:v>
                </c:pt>
                <c:pt idx="7">
                  <c:v>268</c:v>
                </c:pt>
                <c:pt idx="8">
                  <c:v>8.1666666666666661</c:v>
                </c:pt>
                <c:pt idx="9">
                  <c:v>4</c:v>
                </c:pt>
                <c:pt idx="10">
                  <c:v>3.375</c:v>
                </c:pt>
                <c:pt idx="11">
                  <c:v>6.1666666666666661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0"/>
      </c:pieChart>
    </c:plotArea>
    <c:legend>
      <c:legendPos val="r"/>
      <c:layout>
        <c:manualLayout>
          <c:xMode val="edge"/>
          <c:yMode val="edge"/>
          <c:x val="0.58147789218655366"/>
          <c:y val="2.9957224821601975E-2"/>
          <c:w val="0.4062144155057541"/>
          <c:h val="0.970042775178397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[Калькулятор 2_0_Kадры.xlsx]Диаграммы!СводнаяТаблица2</c:name>
    <c:fmtId val="3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Диаграммы!$C$23</c:f>
              <c:strCache>
                <c:ptCount val="1"/>
                <c:pt idx="0">
                  <c:v>Итог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Диаграммы!$B$24:$B$31</c:f>
              <c:strCache>
                <c:ptCount val="7"/>
                <c:pt idx="0">
                  <c:v>Директор по персоналу</c:v>
                </c:pt>
                <c:pt idx="1">
                  <c:v>Инспектор отдела кадров</c:v>
                </c:pt>
                <c:pt idx="2">
                  <c:v>(пусто)</c:v>
                </c:pt>
                <c:pt idx="3">
                  <c:v>Специалист по подбору персонала</c:v>
                </c:pt>
                <c:pt idx="4">
                  <c:v>Экономист по труда и заработной плате</c:v>
                </c:pt>
                <c:pt idx="5">
                  <c:v>Специалист по обучению</c:v>
                </c:pt>
                <c:pt idx="6">
                  <c:v>Экономист по труду и заработной плате</c:v>
                </c:pt>
              </c:strCache>
            </c:strRef>
          </c:cat>
          <c:val>
            <c:numRef>
              <c:f>Диаграммы!$C$24:$C$31</c:f>
              <c:numCache>
                <c:formatCode>0</c:formatCode>
                <c:ptCount val="7"/>
                <c:pt idx="0">
                  <c:v>89.208333333333329</c:v>
                </c:pt>
                <c:pt idx="1">
                  <c:v>32.866666666666667</c:v>
                </c:pt>
                <c:pt idx="2">
                  <c:v>0</c:v>
                </c:pt>
                <c:pt idx="3">
                  <c:v>269.66666666666663</c:v>
                </c:pt>
                <c:pt idx="4">
                  <c:v>19.708333333333336</c:v>
                </c:pt>
                <c:pt idx="5">
                  <c:v>57.333333333333336</c:v>
                </c:pt>
                <c:pt idx="6">
                  <c:v>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4762</xdr:rowOff>
    </xdr:from>
    <xdr:to>
      <xdr:col>7</xdr:col>
      <xdr:colOff>723900</xdr:colOff>
      <xdr:row>20</xdr:row>
      <xdr:rowOff>152400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22</xdr:row>
      <xdr:rowOff>114300</xdr:rowOff>
    </xdr:from>
    <xdr:to>
      <xdr:col>7</xdr:col>
      <xdr:colOff>904875</xdr:colOff>
      <xdr:row>41</xdr:row>
      <xdr:rowOff>47625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" refreshedDate="43299.393193402779" createdVersion="4" refreshedVersion="4" minRefreshableVersion="3" recordCount="79">
  <cacheSource type="worksheet">
    <worksheetSource ref="D1:Y80" sheet="1Описание работ"/>
  </cacheSource>
  <cacheFields count="22">
    <cacheField name="Должность исполнителя" numFmtId="0">
      <sharedItems containsBlank="1" count="7">
        <s v="Инспектор отдела кадров"/>
        <s v="Директор по персоналу"/>
        <s v="Специалист по подбору персонала"/>
        <s v="Экономист по труда и заработной плате"/>
        <s v="Специалист по обучению"/>
        <s v="Экономист по труду и заработной плате"/>
        <m/>
      </sharedItems>
    </cacheField>
    <cacheField name="Квалификация" numFmtId="0">
      <sharedItems containsNonDate="0" containsString="0" containsBlank="1"/>
    </cacheField>
    <cacheField name="Уровень квалификации" numFmtId="9">
      <sharedItems containsSemiMixedTypes="0" containsString="0" containsNumber="1" containsInteger="1" minValue="1" maxValue="1"/>
    </cacheField>
    <cacheField name="Бизнес-процесс/блок работ" numFmtId="0">
      <sharedItems containsBlank="1" count="14">
        <s v="Кадровое делопроизводство"/>
        <s v="Разработка внутренних документов"/>
        <s v="Мотивация персонала"/>
        <s v="Заработная плата"/>
        <s v="Корпоративное обучение"/>
        <s v="Штатное расписание и организационная структура"/>
        <s v="Подбор персонала"/>
        <s v="Трудовые споры"/>
        <s v="Аттестация и оценка персонала"/>
        <s v="Корпоративные мероприятия"/>
        <s v="Управленческое консультирование"/>
        <s v="Кадровая аналитика"/>
        <m/>
        <s v="Служебные переговоры и переписка" u="1"/>
      </sharedItems>
    </cacheField>
    <cacheField name="Операции/работы" numFmtId="0">
      <sharedItems containsBlank="1"/>
    </cacheField>
    <cacheField name="Вид нормы времени" numFmtId="0">
      <sharedItems containsBlank="1"/>
    </cacheField>
    <cacheField name="Норма времени min" numFmtId="0">
      <sharedItems containsString="0" containsBlank="1" containsNumber="1" containsInteger="1" minValue="10" maxValue="2400"/>
    </cacheField>
    <cacheField name="Норма времени max" numFmtId="0">
      <sharedItems containsString="0" containsBlank="1" containsNumber="1" containsInteger="1" minValue="15" maxValue="2400"/>
    </cacheField>
    <cacheField name="Среднее время" numFmtId="164">
      <sharedItems containsSemiMixedTypes="0" containsString="0" containsNumber="1" minValue="0" maxValue="2400"/>
    </cacheField>
    <cacheField name="Единицы измерения объема работы" numFmtId="0">
      <sharedItems containsBlank="1"/>
    </cacheField>
    <cacheField name="Параметр объема работы за период" numFmtId="0">
      <sharedItems containsBlank="1"/>
    </cacheField>
    <cacheField name="Количественный показатель объема работы" numFmtId="0">
      <sharedItems containsString="0" containsBlank="1" containsNumber="1" containsInteger="1" minValue="1" maxValue="40"/>
    </cacheField>
    <cacheField name="ПЗВ % на смену/день" numFmtId="9">
      <sharedItems containsNonDate="0" containsString="0" containsBlank="1"/>
    </cacheField>
    <cacheField name="ПЗВ за смену/день (мин.)" numFmtId="0">
      <sharedItems containsNonDate="0" containsString="0" containsBlank="1"/>
    </cacheField>
    <cacheField name="ПЗВ на одну операцию (мин)" numFmtId="0">
      <sharedItems containsNonDate="0" containsString="0" containsBlank="1"/>
    </cacheField>
    <cacheField name="ОРМ % на смену/день" numFmtId="9">
      <sharedItems containsNonDate="0" containsString="0" containsBlank="1"/>
    </cacheField>
    <cacheField name="ОРМ за смену/день (мин)" numFmtId="164">
      <sharedItems containsNonDate="0" containsString="0" containsBlank="1"/>
    </cacheField>
    <cacheField name="ОРМ на одну операцию (мин)" numFmtId="164">
      <sharedItems containsNonDate="0" containsString="0" containsBlank="1"/>
    </cacheField>
    <cacheField name="ПЗВ+ОРМ в месяц (мин)" numFmtId="1">
      <sharedItems containsSemiMixedTypes="0" containsString="0" containsNumber="1" containsInteger="1" minValue="0" maxValue="0"/>
    </cacheField>
    <cacheField name="Количество задействованных в операции сотрудников" numFmtId="0">
      <sharedItems containsSemiMixedTypes="0" containsString="0" containsNumber="1" containsInteger="1" minValue="1" maxValue="1"/>
    </cacheField>
    <cacheField name="Трудозатраты в месяц в минутах" numFmtId="164">
      <sharedItems containsSemiMixedTypes="0" containsString="0" containsNumber="1" minValue="0" maxValue="12480"/>
    </cacheField>
    <cacheField name="Трудозатраты в месяц в часах" numFmtId="164">
      <sharedItems containsSemiMixedTypes="0" containsString="0" containsNumber="1" minValue="0" maxValue="2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m/>
    <n v="1"/>
    <x v="0"/>
    <s v="Подготовка кадровых документов при приеме на работу"/>
    <s v="время на 1 документ"/>
    <n v="40"/>
    <n v="40"/>
    <n v="40"/>
    <s v="количество документов за период"/>
    <s v="количество в месяц"/>
    <n v="15"/>
    <m/>
    <m/>
    <m/>
    <m/>
    <m/>
    <m/>
    <n v="0"/>
    <n v="1"/>
    <n v="600"/>
    <n v="10"/>
  </r>
  <r>
    <x v="0"/>
    <m/>
    <n v="1"/>
    <x v="0"/>
    <s v="Подготовка кадровых документов при увольнении"/>
    <s v="время на 1 документ"/>
    <n v="40"/>
    <n v="50"/>
    <n v="45"/>
    <s v="количество документов за период"/>
    <s v="количество в месяц"/>
    <n v="10"/>
    <m/>
    <m/>
    <m/>
    <m/>
    <m/>
    <m/>
    <n v="0"/>
    <n v="1"/>
    <n v="450"/>
    <n v="7.5"/>
  </r>
  <r>
    <x v="0"/>
    <m/>
    <n v="1"/>
    <x v="0"/>
    <s v="Выдача сотрудникам справок"/>
    <s v="время на 1 документ"/>
    <n v="10"/>
    <n v="15"/>
    <n v="12.5"/>
    <s v="количество документов за период"/>
    <s v="количество в день"/>
    <n v="2"/>
    <m/>
    <m/>
    <m/>
    <m/>
    <m/>
    <m/>
    <n v="0"/>
    <n v="1"/>
    <n v="514.5"/>
    <n v="8.5749999999999993"/>
  </r>
  <r>
    <x v="0"/>
    <m/>
    <n v="1"/>
    <x v="0"/>
    <s v="Подготовка приказов об отпусках и командировках "/>
    <s v="время на 1 документ"/>
    <n v="15"/>
    <n v="20"/>
    <n v="17.5"/>
    <s v="количество документов за период"/>
    <s v="количество в месяц"/>
    <n v="15"/>
    <m/>
    <m/>
    <m/>
    <m/>
    <m/>
    <m/>
    <n v="0"/>
    <n v="1"/>
    <n v="262.5"/>
    <n v="4.375"/>
  </r>
  <r>
    <x v="0"/>
    <m/>
    <n v="1"/>
    <x v="0"/>
    <s v="Внесение изменений в кадровые документы  (типовые положения, договора)"/>
    <s v="время на 1 документ"/>
    <n v="20"/>
    <n v="35"/>
    <n v="27.5"/>
    <s v="перидичность выполнения этой работы"/>
    <s v="количество в месяц"/>
    <n v="2"/>
    <m/>
    <m/>
    <m/>
    <m/>
    <m/>
    <m/>
    <n v="0"/>
    <n v="1"/>
    <n v="55"/>
    <n v="0.91666666666666663"/>
  </r>
  <r>
    <x v="1"/>
    <m/>
    <n v="1"/>
    <x v="1"/>
    <s v="Разработка документов с &quot;нуля&quot; до первой редакции (положения, регламенты, кодексы, стандарты)"/>
    <s v="время на 1 документ"/>
    <n v="360"/>
    <n v="360"/>
    <n v="360"/>
    <s v="перидичность выполнения этой работы"/>
    <s v="количество в месяц"/>
    <n v="1"/>
    <m/>
    <m/>
    <m/>
    <m/>
    <m/>
    <m/>
    <n v="0"/>
    <n v="1"/>
    <n v="360"/>
    <n v="6"/>
  </r>
  <r>
    <x v="1"/>
    <m/>
    <n v="1"/>
    <x v="1"/>
    <s v="Внесение правок в документы первой редакции по итогам согласований "/>
    <s v="время на 1 документ"/>
    <n v="60"/>
    <n v="70"/>
    <n v="65"/>
    <s v="перидичность выполнения этой работы"/>
    <s v="количество в месяц"/>
    <n v="2"/>
    <m/>
    <m/>
    <m/>
    <m/>
    <m/>
    <m/>
    <n v="0"/>
    <n v="1"/>
    <n v="130"/>
    <n v="2.1666666666666665"/>
  </r>
  <r>
    <x v="1"/>
    <m/>
    <n v="1"/>
    <x v="2"/>
    <s v="Разработка системы мотивации от первичного анализа до пилотных расчетов"/>
    <s v="время на 1 документ"/>
    <n v="180"/>
    <n v="240"/>
    <n v="210"/>
    <s v="перидичность выполнения этой работы"/>
    <s v="количество в месяц"/>
    <n v="3"/>
    <m/>
    <m/>
    <m/>
    <m/>
    <m/>
    <m/>
    <n v="0"/>
    <n v="1"/>
    <n v="630"/>
    <n v="10.5"/>
  </r>
  <r>
    <x v="2"/>
    <m/>
    <n v="1"/>
    <x v="3"/>
    <s v="Подготовка отчета с оценкой конкурентоспособности заработной платы"/>
    <s v="время на 1 должность"/>
    <n v="20"/>
    <n v="30"/>
    <n v="25"/>
    <s v="перидичность выполнения этой работы"/>
    <s v="количество в месяц"/>
    <n v="4"/>
    <m/>
    <m/>
    <m/>
    <m/>
    <m/>
    <m/>
    <n v="0"/>
    <n v="1"/>
    <n v="100"/>
    <n v="1.6666666666666667"/>
  </r>
  <r>
    <x v="3"/>
    <m/>
    <n v="1"/>
    <x v="3"/>
    <s v="Расчет зарплат и бонусов сотрудникам, расчет заработной платы которых неавтоматизирован"/>
    <s v="время расчета на 1 работника"/>
    <n v="10"/>
    <n v="15"/>
    <n v="12.5"/>
    <s v="Количество сотрудников, по которым делается расчет"/>
    <s v="количество в месяц"/>
    <n v="40"/>
    <m/>
    <m/>
    <m/>
    <m/>
    <m/>
    <m/>
    <n v="0"/>
    <n v="1"/>
    <n v="500"/>
    <n v="8.3333333333333339"/>
  </r>
  <r>
    <x v="3"/>
    <m/>
    <n v="1"/>
    <x v="3"/>
    <s v="Сбор и обработка данных для формирования бюджета подразделения"/>
    <s v="время на 1 подразделение"/>
    <n v="15"/>
    <n v="30"/>
    <n v="22.5"/>
    <s v="перидичность выполнения этой работы"/>
    <s v="количество в месяц"/>
    <n v="7"/>
    <m/>
    <m/>
    <m/>
    <m/>
    <m/>
    <m/>
    <n v="0"/>
    <n v="1"/>
    <n v="157.5"/>
    <n v="2.625"/>
  </r>
  <r>
    <x v="3"/>
    <m/>
    <n v="1"/>
    <x v="3"/>
    <s v="Ежемесячный контроль исполнения бюджета затрат на персонал - подготовка отчета с комментариями"/>
    <s v="время на 1 документ"/>
    <n v="60"/>
    <n v="90"/>
    <n v="75"/>
    <s v="количество документов"/>
    <s v="количество в месяц"/>
    <n v="7"/>
    <m/>
    <m/>
    <m/>
    <m/>
    <m/>
    <m/>
    <n v="0"/>
    <n v="1"/>
    <n v="525"/>
    <n v="8.75"/>
  </r>
  <r>
    <x v="4"/>
    <m/>
    <n v="1"/>
    <x v="4"/>
    <s v="Разработка учебных программ  для проведения внутреннего обучения "/>
    <s v="время на 1 программу"/>
    <n v="480"/>
    <n v="600"/>
    <n v="540"/>
    <s v="количество программ"/>
    <s v="количество в месяц"/>
    <n v="1"/>
    <m/>
    <m/>
    <m/>
    <m/>
    <m/>
    <m/>
    <n v="0"/>
    <n v="1"/>
    <n v="540"/>
    <n v="9"/>
  </r>
  <r>
    <x v="4"/>
    <m/>
    <n v="1"/>
    <x v="4"/>
    <s v="Проведение учебных сессий (тренингов, семинаров или занятий) "/>
    <s v="время одной сессии"/>
    <n v="360"/>
    <n v="420"/>
    <n v="390"/>
    <s v="количество сессий"/>
    <s v="количество в месяц"/>
    <n v="3"/>
    <m/>
    <m/>
    <m/>
    <m/>
    <m/>
    <m/>
    <n v="0"/>
    <n v="1"/>
    <n v="1170"/>
    <n v="19.5"/>
  </r>
  <r>
    <x v="4"/>
    <m/>
    <n v="1"/>
    <x v="4"/>
    <s v="Поиск провайдеров для проведения внешнего обучения (семинара, тренинга)"/>
    <s v="время выполнения работы"/>
    <n v="60"/>
    <n v="120"/>
    <n v="90"/>
    <s v="перидичность выполнения этой работы"/>
    <s v="количество в месяц"/>
    <n v="1"/>
    <m/>
    <m/>
    <m/>
    <m/>
    <m/>
    <m/>
    <n v="0"/>
    <n v="1"/>
    <n v="90"/>
    <n v="1.5"/>
  </r>
  <r>
    <x v="4"/>
    <m/>
    <n v="1"/>
    <x v="4"/>
    <s v="Переговоры с провайдерами, согласование и заключение договора"/>
    <s v="время на выполнение"/>
    <n v="60"/>
    <n v="90"/>
    <n v="75"/>
    <s v="перидичность выполнения этой работы"/>
    <s v="количество в месяц"/>
    <n v="1"/>
    <m/>
    <m/>
    <m/>
    <m/>
    <m/>
    <m/>
    <n v="0"/>
    <n v="1"/>
    <n v="75"/>
    <n v="1.25"/>
  </r>
  <r>
    <x v="4"/>
    <m/>
    <n v="1"/>
    <x v="4"/>
    <s v="Организация обучения - подготовка и оборудование помещения, сбор участников"/>
    <s v="время на выполнение"/>
    <n v="60"/>
    <n v="90"/>
    <n v="75"/>
    <s v="перидичность выполнения этой работы"/>
    <s v="количество в месяц"/>
    <n v="3"/>
    <m/>
    <m/>
    <m/>
    <m/>
    <m/>
    <m/>
    <n v="0"/>
    <n v="1"/>
    <n v="225"/>
    <n v="3.75"/>
  </r>
  <r>
    <x v="0"/>
    <m/>
    <n v="1"/>
    <x v="5"/>
    <s v="Подготовка проекта штатного расписания"/>
    <s v="время на 1 документ"/>
    <n v="60"/>
    <n v="120"/>
    <n v="90"/>
    <s v="перидичность выполнения этой работы"/>
    <s v="количество в месяц"/>
    <n v="1"/>
    <m/>
    <m/>
    <m/>
    <m/>
    <m/>
    <m/>
    <n v="0"/>
    <n v="1"/>
    <n v="90"/>
    <n v="1.5"/>
  </r>
  <r>
    <x v="1"/>
    <m/>
    <n v="1"/>
    <x v="5"/>
    <s v="Обсуждение и согласование штатного расписания, подготовка окончательной редакции"/>
    <s v="время выполнения работы"/>
    <n v="60"/>
    <n v="120"/>
    <n v="90"/>
    <s v="перидичность выполнения этой работы"/>
    <s v="количество в месяц"/>
    <n v="1"/>
    <m/>
    <m/>
    <m/>
    <m/>
    <m/>
    <m/>
    <n v="0"/>
    <n v="1"/>
    <n v="90"/>
    <n v="1.5"/>
  </r>
  <r>
    <x v="1"/>
    <m/>
    <n v="1"/>
    <x v="5"/>
    <s v="Оформление организационной структуры в MS Visio"/>
    <s v="время на 1 документ"/>
    <n v="180"/>
    <n v="200"/>
    <n v="190"/>
    <s v="перидичность выполнения этой работы"/>
    <s v="количество в месяц"/>
    <n v="1"/>
    <m/>
    <m/>
    <m/>
    <m/>
    <m/>
    <m/>
    <n v="0"/>
    <n v="1"/>
    <n v="190"/>
    <n v="3.1666666666666665"/>
  </r>
  <r>
    <x v="2"/>
    <m/>
    <n v="1"/>
    <x v="6"/>
    <s v="Поиск и подбор соискателей для замещения  вакантных должностей рабочих"/>
    <s v="норматив на 1 вакансию"/>
    <n v="960"/>
    <n v="960"/>
    <n v="960"/>
    <s v="количество вакансий, которые должны быть закрыты"/>
    <s v="количество в месяц"/>
    <n v="13"/>
    <m/>
    <m/>
    <m/>
    <m/>
    <m/>
    <m/>
    <n v="0"/>
    <n v="1"/>
    <n v="12480"/>
    <n v="208"/>
  </r>
  <r>
    <x v="2"/>
    <m/>
    <n v="1"/>
    <x v="6"/>
    <s v="Поиск и подбор соискателей для замещения  вакантных должностей руководителей и специалистов"/>
    <s v="норматив на 1 вакансию"/>
    <n v="1800"/>
    <n v="1800"/>
    <n v="1800"/>
    <s v="количество вакансий, которые должны быть закрыты"/>
    <s v="количество в месяц"/>
    <n v="2"/>
    <m/>
    <m/>
    <m/>
    <m/>
    <m/>
    <m/>
    <n v="0"/>
    <n v="1"/>
    <n v="3600"/>
    <n v="60"/>
  </r>
  <r>
    <x v="1"/>
    <m/>
    <n v="1"/>
    <x v="7"/>
    <s v="Подготовка документов для судебных органов и проверок"/>
    <s v="время выполнения работы"/>
    <n v="90"/>
    <n v="120"/>
    <n v="105"/>
    <s v="перидичность выполнения этой работы"/>
    <s v="количество в месяц"/>
    <n v="1"/>
    <m/>
    <m/>
    <m/>
    <m/>
    <m/>
    <m/>
    <n v="0"/>
    <n v="1"/>
    <n v="105"/>
    <n v="1.75"/>
  </r>
  <r>
    <x v="1"/>
    <m/>
    <n v="1"/>
    <x v="7"/>
    <s v="Участие в судебных заседаниях"/>
    <s v="время выполнения работы"/>
    <n v="120"/>
    <n v="150"/>
    <n v="135"/>
    <s v="перидичность выполнения этой работы"/>
    <s v="количество в месяц"/>
    <n v="1"/>
    <m/>
    <m/>
    <m/>
    <m/>
    <m/>
    <m/>
    <n v="0"/>
    <n v="1"/>
    <n v="135"/>
    <n v="2.25"/>
  </r>
  <r>
    <x v="4"/>
    <m/>
    <n v="1"/>
    <x v="8"/>
    <s v="Подготовка форм для оценки персонала"/>
    <s v="время на 1 документ"/>
    <n v="35"/>
    <n v="60"/>
    <n v="47.5"/>
    <s v="перидичность выполнения этой работы"/>
    <s v="количество в месяц"/>
    <n v="8"/>
    <m/>
    <m/>
    <m/>
    <m/>
    <m/>
    <m/>
    <n v="0"/>
    <n v="1"/>
    <n v="380"/>
    <n v="6.333333333333333"/>
  </r>
  <r>
    <x v="4"/>
    <m/>
    <n v="1"/>
    <x v="8"/>
    <s v="Присутствие во время оценки и аттестации. Ведение протоколов"/>
    <s v="время на 1 документ"/>
    <n v="120"/>
    <n v="120"/>
    <n v="120"/>
    <s v="перидичность выполнения этой работы"/>
    <s v="количество в месяц"/>
    <n v="8"/>
    <m/>
    <m/>
    <m/>
    <m/>
    <m/>
    <m/>
    <n v="0"/>
    <n v="1"/>
    <n v="960"/>
    <n v="16"/>
  </r>
  <r>
    <x v="1"/>
    <m/>
    <n v="1"/>
    <x v="9"/>
    <s v="Поиск провайдеров для проведения корпоративных мероприятий"/>
    <s v="время на 1 документ"/>
    <n v="180"/>
    <n v="240"/>
    <n v="210"/>
    <s v="перидичность выполнения этой работы"/>
    <s v="количество в месяц"/>
    <n v="1"/>
    <m/>
    <m/>
    <m/>
    <m/>
    <m/>
    <m/>
    <n v="0"/>
    <n v="1"/>
    <n v="210"/>
    <n v="3.5"/>
  </r>
  <r>
    <x v="1"/>
    <m/>
    <n v="1"/>
    <x v="9"/>
    <s v="Переговоры с провайдерами, согласование и заключение договора"/>
    <s v="затраты времени"/>
    <n v="180"/>
    <n v="240"/>
    <n v="210"/>
    <s v="перидичность выполнения этой работы"/>
    <s v="количество в месяц"/>
    <n v="1"/>
    <m/>
    <m/>
    <m/>
    <m/>
    <m/>
    <m/>
    <n v="0"/>
    <n v="1"/>
    <n v="210"/>
    <n v="3.5"/>
  </r>
  <r>
    <x v="1"/>
    <m/>
    <n v="1"/>
    <x v="9"/>
    <s v="Сопровождение провайдера во время проведение мероприятия"/>
    <s v="время на 1 документ"/>
    <n v="480"/>
    <n v="480"/>
    <n v="480"/>
    <s v="перидичность выполнения этой работы"/>
    <s v="количество в месяц"/>
    <n v="1"/>
    <m/>
    <m/>
    <m/>
    <m/>
    <m/>
    <m/>
    <n v="0"/>
    <n v="1"/>
    <n v="480"/>
    <n v="8"/>
  </r>
  <r>
    <x v="1"/>
    <m/>
    <n v="1"/>
    <x v="9"/>
    <s v="Самостоятельная подготовка к мероприятию - подготовка сценария, поиска площадки, разработка программы"/>
    <s v="время на 1 документ"/>
    <n v="2400"/>
    <n v="2400"/>
    <n v="2400"/>
    <s v="перидичность выполнения этой работы"/>
    <s v="количество в месяц"/>
    <n v="1"/>
    <m/>
    <m/>
    <m/>
    <m/>
    <m/>
    <m/>
    <n v="0"/>
    <n v="1"/>
    <n v="2400"/>
    <n v="40"/>
  </r>
  <r>
    <x v="1"/>
    <m/>
    <n v="1"/>
    <x v="10"/>
    <s v="Консультирование руководителей по вопросам применения трудового законодательства"/>
    <s v="время на 1 консультацию"/>
    <n v="10"/>
    <n v="25"/>
    <n v="17.5"/>
    <s v="перидичность выполнения этой работы"/>
    <s v="количество в месяц"/>
    <n v="3"/>
    <m/>
    <m/>
    <m/>
    <m/>
    <m/>
    <m/>
    <n v="0"/>
    <n v="1"/>
    <n v="52.5"/>
    <n v="0.875"/>
  </r>
  <r>
    <x v="1"/>
    <m/>
    <n v="1"/>
    <x v="10"/>
    <s v="Консультирование руководителя компании по вопросам управления персоналом"/>
    <s v="время на 1 документ"/>
    <n v="40"/>
    <n v="60"/>
    <n v="50"/>
    <s v="перидичность выполнения этой работы"/>
    <s v="количество в месяц"/>
    <n v="3"/>
    <m/>
    <m/>
    <m/>
    <m/>
    <m/>
    <m/>
    <n v="0"/>
    <n v="1"/>
    <n v="150"/>
    <n v="2.5"/>
  </r>
  <r>
    <x v="5"/>
    <m/>
    <n v="1"/>
    <x v="11"/>
    <s v="Разработка формы аналитического отчета"/>
    <s v="время на 1 документ"/>
    <n v="120"/>
    <n v="180"/>
    <n v="150"/>
    <s v="перидичность выполнения этой работы"/>
    <s v="количество в месяц"/>
    <n v="3"/>
    <m/>
    <m/>
    <m/>
    <m/>
    <m/>
    <m/>
    <n v="0"/>
    <n v="1"/>
    <n v="450"/>
    <n v="7.5"/>
  </r>
  <r>
    <x v="5"/>
    <m/>
    <n v="1"/>
    <x v="11"/>
    <s v="Подготовка аналитического отчета"/>
    <s v="время на 1 документ"/>
    <n v="60"/>
    <n v="120"/>
    <n v="90"/>
    <s v="перидичность выполнения этой работы"/>
    <s v="количество в месяц"/>
    <n v="10"/>
    <m/>
    <m/>
    <m/>
    <m/>
    <m/>
    <m/>
    <n v="0"/>
    <n v="1"/>
    <n v="900"/>
    <n v="15"/>
  </r>
  <r>
    <x v="1"/>
    <m/>
    <n v="1"/>
    <x v="11"/>
    <s v="Подготовка презентации с визуализированными данными аналитики"/>
    <s v="время на 1 документ"/>
    <n v="180"/>
    <n v="240"/>
    <n v="210"/>
    <s v="перидичность выполнения этой работы"/>
    <s v="количество в месяц"/>
    <n v="1"/>
    <m/>
    <m/>
    <m/>
    <m/>
    <m/>
    <m/>
    <n v="0"/>
    <n v="1"/>
    <n v="210"/>
    <n v="3.5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  <r>
    <x v="6"/>
    <m/>
    <n v="1"/>
    <x v="12"/>
    <m/>
    <m/>
    <m/>
    <m/>
    <n v="0"/>
    <m/>
    <m/>
    <m/>
    <m/>
    <m/>
    <m/>
    <m/>
    <m/>
    <m/>
    <n v="0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4">
  <location ref="B23:C31" firstHeaderRow="1" firstDataRow="1" firstDataCol="1"/>
  <pivotFields count="22">
    <pivotField axis="axisRow" showAll="0">
      <items count="8">
        <item x="1"/>
        <item x="0"/>
        <item x="6"/>
        <item x="2"/>
        <item x="3"/>
        <item x="4"/>
        <item x="5"/>
        <item t="default"/>
      </items>
    </pivotField>
    <pivotField showAll="0"/>
    <pivotField numFmtId="9" showAll="0" defaultSubtotal="0"/>
    <pivotField showAll="0"/>
    <pivotField showAll="0"/>
    <pivotField showAll="0" defaultSubtotal="0"/>
    <pivotField showAll="0"/>
    <pivotField showAll="0"/>
    <pivotField numFmtId="164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numFmtId="164" showAll="0"/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Сумма по полю Трудозатраты в месяц в часах" fld="21" baseField="0" baseItem="0" numFmtId="1"/>
  </dataFields>
  <formats count="5">
    <format dxfId="4">
      <pivotArea grandRow="1" outline="0" collapsedLevelsAreSubtotals="1" fieldPosition="0"/>
    </format>
    <format dxfId="3">
      <pivotArea collapsedLevelsAreSubtotals="1" fieldPosition="0">
        <references count="1">
          <reference field="0" count="1">
            <x v="0"/>
          </reference>
        </references>
      </pivotArea>
    </format>
    <format dxfId="2">
      <pivotArea collapsedLevelsAreSubtotals="1" fieldPosition="0">
        <references count="1">
          <reference field="0" count="1">
            <x v="1"/>
          </reference>
        </references>
      </pivotArea>
    </format>
    <format dxfId="1">
      <pivotArea collapsedLevelsAreSubtotals="1" fieldPosition="0">
        <references count="1">
          <reference field="0" count="1">
            <x v="2"/>
          </reference>
        </references>
      </pivotArea>
    </format>
    <format dxfId="0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5">
  <location ref="B3:C17" firstHeaderRow="1" firstDataRow="1" firstDataCol="1"/>
  <pivotFields count="22">
    <pivotField showAll="0"/>
    <pivotField showAll="0"/>
    <pivotField numFmtId="9" showAll="0" defaultSubtotal="0"/>
    <pivotField axis="axisRow" showAll="0">
      <items count="15">
        <item x="8"/>
        <item x="3"/>
        <item x="11"/>
        <item x="0"/>
        <item x="4"/>
        <item x="9"/>
        <item x="2"/>
        <item x="6"/>
        <item x="1"/>
        <item m="1" x="13"/>
        <item x="7"/>
        <item x="10"/>
        <item x="5"/>
        <item x="12"/>
        <item t="default"/>
      </items>
    </pivotField>
    <pivotField showAll="0"/>
    <pivotField showAll="0" defaultSubtotal="0"/>
    <pivotField showAll="0"/>
    <pivotField showAll="0"/>
    <pivotField numFmtId="164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numFmtId="164" showAll="0"/>
    <pivotField dataField="1" numFmtId="164"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Сумма по полю Трудозатраты в месяц в часах" fld="21" baseField="0" baseItem="0"/>
  </dataFields>
  <formats count="2">
    <format dxfId="6">
      <pivotArea grandRow="1" outline="0" collapsedLevelsAreSubtotals="1" fieldPosition="0"/>
    </format>
    <format dxfId="5">
      <pivotArea collapsedLevelsAreSubtotals="1" fieldPosition="0">
        <references count="1">
          <reference field="3" count="0"/>
        </references>
      </pivotArea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C10" sqref="C10"/>
    </sheetView>
  </sheetViews>
  <sheetFormatPr defaultRowHeight="15" x14ac:dyDescent="0.25"/>
  <cols>
    <col min="1" max="1" width="85.85546875" style="22" customWidth="1"/>
    <col min="2" max="2" width="9.140625" style="95"/>
    <col min="3" max="3" width="13.140625" style="95" bestFit="1" customWidth="1"/>
    <col min="4" max="40" width="9.140625" style="44"/>
  </cols>
  <sheetData>
    <row r="1" spans="1:3" s="5" customFormat="1" ht="32.25" customHeight="1" x14ac:dyDescent="0.25">
      <c r="A1" s="89" t="s">
        <v>108</v>
      </c>
      <c r="B1" s="90">
        <v>1</v>
      </c>
      <c r="C1" s="101">
        <v>100000</v>
      </c>
    </row>
    <row r="2" spans="1:3" s="5" customFormat="1" ht="32.25" customHeight="1" x14ac:dyDescent="0.25">
      <c r="A2" s="89" t="s">
        <v>109</v>
      </c>
      <c r="B2" s="90">
        <v>2</v>
      </c>
      <c r="C2" s="101">
        <v>60000</v>
      </c>
    </row>
    <row r="3" spans="1:3" s="5" customFormat="1" ht="32.25" customHeight="1" x14ac:dyDescent="0.25">
      <c r="A3" s="89" t="s">
        <v>110</v>
      </c>
      <c r="B3" s="90">
        <v>2</v>
      </c>
      <c r="C3" s="101">
        <v>25000</v>
      </c>
    </row>
    <row r="4" spans="1:3" s="5" customFormat="1" ht="32.25" customHeight="1" x14ac:dyDescent="0.25">
      <c r="A4" s="89" t="s">
        <v>111</v>
      </c>
      <c r="B4" s="90">
        <v>2</v>
      </c>
      <c r="C4" s="101">
        <v>50000</v>
      </c>
    </row>
    <row r="5" spans="1:3" s="5" customFormat="1" ht="32.25" customHeight="1" x14ac:dyDescent="0.25">
      <c r="A5" s="89" t="s">
        <v>112</v>
      </c>
      <c r="B5" s="90">
        <v>2</v>
      </c>
      <c r="C5" s="101">
        <v>50000</v>
      </c>
    </row>
    <row r="6" spans="1:3" s="5" customFormat="1" ht="32.25" customHeight="1" x14ac:dyDescent="0.25">
      <c r="A6" s="89" t="s">
        <v>113</v>
      </c>
      <c r="B6" s="90">
        <v>1</v>
      </c>
      <c r="C6" s="101">
        <v>80000</v>
      </c>
    </row>
    <row r="7" spans="1:3" s="5" customFormat="1" ht="32.25" customHeight="1" x14ac:dyDescent="0.25">
      <c r="A7" s="90" t="s">
        <v>114</v>
      </c>
      <c r="B7" s="90">
        <v>1</v>
      </c>
      <c r="C7" s="101">
        <v>80000</v>
      </c>
    </row>
    <row r="8" spans="1:3" s="5" customFormat="1" ht="36.75" customHeight="1" x14ac:dyDescent="0.25">
      <c r="A8" s="90" t="s">
        <v>160</v>
      </c>
      <c r="B8" s="91">
        <v>1</v>
      </c>
      <c r="C8" s="101">
        <v>30000</v>
      </c>
    </row>
    <row r="9" spans="1:3" ht="36.75" customHeight="1" x14ac:dyDescent="0.25">
      <c r="A9" s="90"/>
      <c r="B9" s="91"/>
      <c r="C9" s="101"/>
    </row>
    <row r="10" spans="1:3" ht="36.75" customHeight="1" x14ac:dyDescent="0.25">
      <c r="A10" s="90"/>
      <c r="B10" s="91"/>
      <c r="C10" s="101"/>
    </row>
    <row r="11" spans="1:3" ht="36.75" customHeight="1" x14ac:dyDescent="0.25">
      <c r="A11" s="90"/>
      <c r="B11" s="91"/>
      <c r="C11" s="101"/>
    </row>
    <row r="12" spans="1:3" ht="36.75" customHeight="1" x14ac:dyDescent="0.25">
      <c r="A12" s="90"/>
      <c r="B12" s="91"/>
      <c r="C12" s="101"/>
    </row>
    <row r="13" spans="1:3" ht="36.75" customHeight="1" x14ac:dyDescent="0.25">
      <c r="A13" s="90"/>
      <c r="B13" s="91"/>
      <c r="C13" s="101"/>
    </row>
    <row r="14" spans="1:3" ht="36.75" customHeight="1" x14ac:dyDescent="0.25">
      <c r="A14" s="90"/>
      <c r="B14" s="91"/>
      <c r="C14" s="101"/>
    </row>
    <row r="15" spans="1:3" ht="36.75" customHeight="1" x14ac:dyDescent="0.25">
      <c r="A15" s="90"/>
      <c r="B15" s="91"/>
      <c r="C15" s="101"/>
    </row>
    <row r="16" spans="1:3" ht="36.75" customHeight="1" x14ac:dyDescent="0.25">
      <c r="A16" s="90"/>
      <c r="B16" s="91"/>
      <c r="C16" s="101"/>
    </row>
    <row r="17" spans="1:3" ht="36.75" customHeight="1" x14ac:dyDescent="0.25">
      <c r="A17" s="90"/>
      <c r="B17" s="91"/>
      <c r="C17" s="101"/>
    </row>
    <row r="18" spans="1:3" ht="36.75" customHeight="1" x14ac:dyDescent="0.25">
      <c r="A18" s="92"/>
      <c r="B18" s="91"/>
      <c r="C18" s="101"/>
    </row>
    <row r="19" spans="1:3" ht="36.75" customHeight="1" x14ac:dyDescent="0.25">
      <c r="A19" s="78"/>
      <c r="B19" s="91"/>
      <c r="C19" s="93"/>
    </row>
    <row r="20" spans="1:3" ht="36.75" customHeight="1" x14ac:dyDescent="0.25">
      <c r="A20" s="78"/>
      <c r="B20" s="91"/>
      <c r="C20" s="93"/>
    </row>
    <row r="21" spans="1:3" ht="36.75" customHeight="1" x14ac:dyDescent="0.25">
      <c r="A21" s="78"/>
      <c r="B21" s="91"/>
      <c r="C21" s="93"/>
    </row>
    <row r="22" spans="1:3" ht="36.75" customHeight="1" x14ac:dyDescent="0.25">
      <c r="A22" s="94"/>
      <c r="B22" s="91"/>
      <c r="C22" s="93"/>
    </row>
    <row r="23" spans="1:3" ht="36.75" customHeight="1" x14ac:dyDescent="0.25">
      <c r="A23" s="94"/>
      <c r="B23" s="91"/>
      <c r="C23" s="93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28"/>
  <sheetViews>
    <sheetView tabSelected="1" topLeftCell="D1" zoomScaleNormal="100" workbookViewId="0">
      <pane xSplit="2" ySplit="1" topLeftCell="F3" activePane="bottomRight" state="frozen"/>
      <selection activeCell="D1" sqref="D1"/>
      <selection pane="topRight" activeCell="F1" sqref="F1"/>
      <selection pane="bottomLeft" activeCell="D2" sqref="D2"/>
      <selection pane="bottomRight" activeCell="M3" sqref="M3"/>
    </sheetView>
  </sheetViews>
  <sheetFormatPr defaultRowHeight="15" x14ac:dyDescent="0.25"/>
  <cols>
    <col min="1" max="3" width="4.7109375" style="3" hidden="1" customWidth="1"/>
    <col min="4" max="4" width="25.85546875" customWidth="1"/>
    <col min="5" max="5" width="18.5703125" style="3" hidden="1" customWidth="1"/>
    <col min="6" max="6" width="9.28515625" style="34" customWidth="1"/>
    <col min="7" max="7" width="24.42578125" customWidth="1"/>
    <col min="8" max="8" width="58.7109375" customWidth="1"/>
    <col min="9" max="9" width="12.5703125" style="44" customWidth="1"/>
    <col min="10" max="11" width="6.5703125" customWidth="1"/>
    <col min="12" max="12" width="11.140625" style="44" bestFit="1" customWidth="1"/>
    <col min="13" max="13" width="15.42578125" style="1" customWidth="1"/>
    <col min="14" max="14" width="16.7109375" style="1" customWidth="1"/>
    <col min="15" max="15" width="18.42578125" customWidth="1"/>
    <col min="16" max="16" width="6.7109375" style="59" hidden="1" customWidth="1"/>
    <col min="17" max="21" width="6.7109375" style="3" hidden="1" customWidth="1"/>
    <col min="22" max="22" width="10.28515625" style="72" hidden="1" customWidth="1"/>
    <col min="23" max="23" width="22.7109375" hidden="1" customWidth="1"/>
    <col min="24" max="24" width="18.42578125" customWidth="1"/>
    <col min="25" max="25" width="17.7109375" style="2" customWidth="1"/>
    <col min="26" max="26" width="14.140625" customWidth="1"/>
  </cols>
  <sheetData>
    <row r="1" spans="1:26" s="44" customFormat="1" ht="96.75" customHeight="1" x14ac:dyDescent="0.25">
      <c r="A1" s="4" t="s">
        <v>6</v>
      </c>
      <c r="B1" s="4"/>
      <c r="C1" s="4"/>
      <c r="D1" s="108" t="s">
        <v>102</v>
      </c>
      <c r="E1" s="109" t="s">
        <v>40</v>
      </c>
      <c r="F1" s="110" t="s">
        <v>122</v>
      </c>
      <c r="G1" s="111" t="s">
        <v>13</v>
      </c>
      <c r="H1" s="112" t="s">
        <v>14</v>
      </c>
      <c r="I1" s="112" t="s">
        <v>123</v>
      </c>
      <c r="J1" s="112" t="s">
        <v>105</v>
      </c>
      <c r="K1" s="112" t="s">
        <v>106</v>
      </c>
      <c r="L1" s="112" t="s">
        <v>117</v>
      </c>
      <c r="M1" s="112" t="s">
        <v>103</v>
      </c>
      <c r="N1" s="108" t="s">
        <v>130</v>
      </c>
      <c r="O1" s="112" t="s">
        <v>107</v>
      </c>
      <c r="P1" s="113" t="s">
        <v>62</v>
      </c>
      <c r="Q1" s="114" t="s">
        <v>63</v>
      </c>
      <c r="R1" s="114" t="s">
        <v>64</v>
      </c>
      <c r="S1" s="115" t="s">
        <v>59</v>
      </c>
      <c r="T1" s="115" t="s">
        <v>60</v>
      </c>
      <c r="U1" s="115" t="s">
        <v>61</v>
      </c>
      <c r="V1" s="116" t="s">
        <v>65</v>
      </c>
      <c r="W1" s="108" t="s">
        <v>12</v>
      </c>
      <c r="X1" s="108" t="s">
        <v>9</v>
      </c>
      <c r="Y1" s="117" t="s">
        <v>10</v>
      </c>
    </row>
    <row r="2" spans="1:26" s="3" customFormat="1" ht="96.75" customHeight="1" x14ac:dyDescent="0.25">
      <c r="A2" s="23">
        <v>1</v>
      </c>
      <c r="B2" s="23"/>
      <c r="C2" s="23"/>
      <c r="D2" s="118" t="s">
        <v>110</v>
      </c>
      <c r="E2" s="118"/>
      <c r="F2" s="122">
        <v>0.8</v>
      </c>
      <c r="G2" s="123" t="s">
        <v>68</v>
      </c>
      <c r="H2" s="123" t="s">
        <v>69</v>
      </c>
      <c r="I2" s="123" t="s">
        <v>124</v>
      </c>
      <c r="J2" s="118">
        <v>40</v>
      </c>
      <c r="K2" s="107">
        <v>40</v>
      </c>
      <c r="L2" s="13">
        <f>((3*J2+2*K2)/5)*IF(E2=0,1,E2)</f>
        <v>40</v>
      </c>
      <c r="M2" s="123" t="s">
        <v>155</v>
      </c>
      <c r="N2" s="118" t="s">
        <v>0</v>
      </c>
      <c r="O2" s="118">
        <v>15</v>
      </c>
      <c r="P2" s="75"/>
      <c r="Q2" s="76"/>
      <c r="R2" s="76"/>
      <c r="S2" s="77"/>
      <c r="T2" s="63"/>
      <c r="U2" s="63"/>
      <c r="V2" s="119">
        <f>IF(OR(COUNTA(P2:R2)&gt;=2,COUNTA(S2:U2)&gt;=2),"ошибка",(IF((AND(COUNTA(P2:R2)=1,P2&gt;0)),P2*60*VLOOKUP(D2,'2Рабочее время'!$A:$L,4,FALSE)*((IF(VLOOKUP(D2,'2Рабочее время'!$A$1:$C$50,2,FALSE)&gt;0,VLOOKUP(D2,'2Рабочее время'!$A$1:$C$50,2,FALSE),VLOOKUP(D2,'2Рабочее время'!$A$1:$C$50,3,FALSE)))),IF((AND(COUNTA(P2:R2)=1,Q2&gt;0)),Q2*((IF(VLOOKUP(D2,'2Рабочее время'!$A$1:$C$50,2,FALSE)&gt;0,VLOOKUP(D2,'2Рабочее время'!$A$1:$C$50,2,FALSE),VLOOKUP(D2,'2Рабочее время'!$A$1:$C$50,3,FALSE)))),IF((AND(COUNTA(P2:R2)=1,R2&gt;0)),R2*O2*IF(N2=0,0,IF(N2="Количество в месяц",1,IF(N2="Количество в неделю",4.285,IF(N2="Количество в день",IF(VLOOKUP(D2,'2Рабочее время'!$A$1:$C$50,2,FALSE)&gt;0,VLOOKUP(D2,'2Рабочее время'!$A$1:$C$50,2,FALSE),VLOOKUP(D2,'2Рабочее время'!$A$1:$C$50,3,FALSE)))))),0)))+IF((AND(COUNTA(S2:U2)=1,S2&gt;0)),S2*60*VLOOKUP(D2,'2Рабочее время'!$A:$L,4,FALSE)*((IF(VLOOKUP(D2,'2Рабочее время'!$A$1:$C$50,2,FALSE)&gt;0,VLOOKUP(D2,'2Рабочее время'!$A$1:$C$50,2,FALSE),VLOOKUP(D2,'2Рабочее время'!$A$1:$C$50,3,FALSE)))),IF((AND(COUNTA(P2:R2)=1,Q2&gt;0)),Q2*((IF(VLOOKUP(D2,'2Рабочее время'!$A$1:$C$50,2,FALSE)&gt;0,VLOOKUP(D2,'2Рабочее время'!$A$1:$C$50,2,FALSE),VLOOKUP(D2,'2Рабочее время'!$A$1:$C$50,3,FALSE)))),IF((AND(COUNTA(S2:U2)=1,T2&gt;0)),T2*((IF(VLOOKUP(D2,'2Рабочее время'!$A$1:$C$50,2,FALSE)&gt;0,VLOOKUP(D2,'2Рабочее время'!$A$1:$C$50,2,FALSE),VLOOKUP(D2,'2Рабочее время'!$A$1:$C$50,3,FALSE)))),IF((AND(COUNTA(S2:U2)=1,U2&gt;0)),U2*O2*IF(N2=0,0,IF(N2="Количество в месяц",1,IF(N2="Количество в неделю",4.285,IF(N2="Количество в день",IF(VLOOKUP(D2,'2Рабочее время'!$A$1:$C$50,2,FALSE)&gt;0,VLOOKUP(D2,'2Рабочее время'!$A$1:$C$50,2,FALSE),VLOOKUP(D2,'2Рабочее время'!$A$1:$C$50,3,FALSE)))))),0))))))</f>
        <v>0</v>
      </c>
      <c r="W2" s="120">
        <v>1</v>
      </c>
      <c r="X2" s="13">
        <f>(IF(N2=0,0,IF(N2="Количество в месяц",L2*O2*W2,IF(N2="Количество в неделю",L2*O2*W2*4.285,IF(N2="Количество в день",L2*O2*W2*IF(VLOOKUP(D2,'2Рабочее время'!$A$1:$C$50,2,FALSE)&gt;0,VLOOKUP(D2,'2Рабочее время'!$A$1:$C$50,2,FALSE),VLOOKUP(D2,'2Рабочее время'!$A$1:$C$50,3,FALSE))))))+V2)*1/F2</f>
        <v>750</v>
      </c>
      <c r="Y2" s="13">
        <f t="shared" ref="Y2" si="0">X2/60</f>
        <v>12.5</v>
      </c>
      <c r="Z2" s="4"/>
    </row>
    <row r="3" spans="1:26" s="3" customFormat="1" ht="57" customHeight="1" x14ac:dyDescent="0.25">
      <c r="A3" s="23">
        <v>2</v>
      </c>
      <c r="B3" s="23"/>
      <c r="C3" s="23"/>
      <c r="D3" s="118" t="s">
        <v>110</v>
      </c>
      <c r="E3" s="118"/>
      <c r="F3" s="122">
        <v>1</v>
      </c>
      <c r="G3" s="123" t="s">
        <v>68</v>
      </c>
      <c r="H3" s="123" t="s">
        <v>70</v>
      </c>
      <c r="I3" s="123" t="s">
        <v>124</v>
      </c>
      <c r="J3" s="118">
        <v>40</v>
      </c>
      <c r="K3" s="107">
        <v>50</v>
      </c>
      <c r="L3" s="13">
        <f t="shared" ref="L3:L66" si="1">((3*J3+2*K3)/5)*IF(E3=0,1,E3)</f>
        <v>44</v>
      </c>
      <c r="M3" s="123" t="s">
        <v>155</v>
      </c>
      <c r="N3" s="118" t="s">
        <v>0</v>
      </c>
      <c r="O3" s="118">
        <v>10</v>
      </c>
      <c r="P3" s="75"/>
      <c r="Q3" s="63"/>
      <c r="R3" s="63"/>
      <c r="S3" s="77"/>
      <c r="T3" s="63"/>
      <c r="U3" s="63"/>
      <c r="V3" s="119">
        <f>IF(OR(COUNTA(P3:R3)&gt;=2,COUNTA(S3:U3)&gt;=2),"ошибка",(IF((AND(COUNTA(P3:R3)=1,P3&gt;0)),P3*60*VLOOKUP(D3,'2Рабочее время'!$A:$L,4,FALSE)*((IF(VLOOKUP(D3,'2Рабочее время'!$A$1:$C$50,2,FALSE)&gt;0,VLOOKUP(D3,'2Рабочее время'!$A$1:$C$50,2,FALSE),VLOOKUP(D3,'2Рабочее время'!$A$1:$C$50,3,FALSE)))),IF((AND(COUNTA(P3:R3)=1,Q3&gt;0)),Q3*((IF(VLOOKUP(D3,'2Рабочее время'!$A$1:$C$50,2,FALSE)&gt;0,VLOOKUP(D3,'2Рабочее время'!$A$1:$C$50,2,FALSE),VLOOKUP(D3,'2Рабочее время'!$A$1:$C$50,3,FALSE)))),IF((AND(COUNTA(P3:R3)=1,R3&gt;0)),R3*O3*IF(N3=0,0,IF(N3="Количество в месяц",1,IF(N3="Количество в неделю",4.285,IF(N3="Количество в день",IF(VLOOKUP(D3,'2Рабочее время'!$A$1:$C$50,2,FALSE)&gt;0,VLOOKUP(D3,'2Рабочее время'!$A$1:$C$50,2,FALSE),VLOOKUP(D3,'2Рабочее время'!$A$1:$C$50,3,FALSE)))))),0)))+IF((AND(COUNTA(S3:U3)=1,S3&gt;0)),S3*60*VLOOKUP(D3,'2Рабочее время'!$A:$L,4,FALSE)*((IF(VLOOKUP(D3,'2Рабочее время'!$A$1:$C$50,2,FALSE)&gt;0,VLOOKUP(D3,'2Рабочее время'!$A$1:$C$50,2,FALSE),VLOOKUP(D3,'2Рабочее время'!$A$1:$C$50,3,FALSE)))),IF((AND(COUNTA(P3:R3)=1,Q3&gt;0)),Q3*((IF(VLOOKUP(D3,'2Рабочее время'!$A$1:$C$50,2,FALSE)&gt;0,VLOOKUP(D3,'2Рабочее время'!$A$1:$C$50,2,FALSE),VLOOKUP(D3,'2Рабочее время'!$A$1:$C$50,3,FALSE)))),IF((AND(COUNTA(S3:U3)=1,T3&gt;0)),T3*((IF(VLOOKUP(D3,'2Рабочее время'!$A$1:$C$50,2,FALSE)&gt;0,VLOOKUP(D3,'2Рабочее время'!$A$1:$C$50,2,FALSE),VLOOKUP(D3,'2Рабочее время'!$A$1:$C$50,3,FALSE)))),IF((AND(COUNTA(S3:U3)=1,U3&gt;0)),U3*O3*IF(N3=0,0,IF(N3="Количество в месяц",1,IF(N3="Количество в неделю",4.285,IF(N3="Количество в день",IF(VLOOKUP(D3,'2Рабочее время'!$A$1:$C$50,2,FALSE)&gt;0,VLOOKUP(D3,'2Рабочее время'!$A$1:$C$50,2,FALSE),VLOOKUP(D3,'2Рабочее время'!$A$1:$C$50,3,FALSE)))))),0))))))</f>
        <v>0</v>
      </c>
      <c r="W3" s="120">
        <v>1</v>
      </c>
      <c r="X3" s="13">
        <f>IF(N3=0,0,IF(N3="Количество в месяц",L3*O3*W3,IF(N3="Количество в неделю",L3*O3*W3*4.285,IF(N3="Количество в день",L3*O3*W3*IF(VLOOKUP(D3,'2Рабочее время'!$A$1:$C$50,2,FALSE)&gt;0,VLOOKUP(D3,'2Рабочее время'!$A$1:$C$50,2,FALSE),VLOOKUP(D3,'2Рабочее время'!$A$1:$C$50,3,FALSE))))))+V3</f>
        <v>440</v>
      </c>
      <c r="Y3" s="13">
        <f t="shared" ref="Y3:Y7" si="2">X3/60</f>
        <v>7.333333333333333</v>
      </c>
    </row>
    <row r="4" spans="1:26" s="3" customFormat="1" ht="57" customHeight="1" x14ac:dyDescent="0.25">
      <c r="A4" s="23">
        <v>3</v>
      </c>
      <c r="B4" s="23"/>
      <c r="C4" s="23"/>
      <c r="D4" s="118" t="s">
        <v>110</v>
      </c>
      <c r="E4" s="118"/>
      <c r="F4" s="122">
        <v>1</v>
      </c>
      <c r="G4" s="123" t="s">
        <v>68</v>
      </c>
      <c r="H4" s="123" t="s">
        <v>71</v>
      </c>
      <c r="I4" s="123" t="s">
        <v>124</v>
      </c>
      <c r="J4" s="118">
        <v>10</v>
      </c>
      <c r="K4" s="107">
        <v>15</v>
      </c>
      <c r="L4" s="13">
        <f t="shared" si="1"/>
        <v>12</v>
      </c>
      <c r="M4" s="123" t="s">
        <v>155</v>
      </c>
      <c r="N4" s="118" t="s">
        <v>11</v>
      </c>
      <c r="O4" s="118">
        <v>2</v>
      </c>
      <c r="P4" s="75"/>
      <c r="Q4" s="63"/>
      <c r="R4" s="63"/>
      <c r="S4" s="77"/>
      <c r="T4" s="63"/>
      <c r="U4" s="63"/>
      <c r="V4" s="119">
        <f>IF(OR(COUNTA(P4:R4)&gt;=2,COUNTA(S4:U4)&gt;=2),"ошибка",(IF((AND(COUNTA(P4:R4)=1,P4&gt;0)),P4*60*VLOOKUP(D4,'2Рабочее время'!$A:$L,4,FALSE)*((IF(VLOOKUP(D4,'2Рабочее время'!$A$1:$C$50,2,FALSE)&gt;0,VLOOKUP(D4,'2Рабочее время'!$A$1:$C$50,2,FALSE),VLOOKUP(D4,'2Рабочее время'!$A$1:$C$50,3,FALSE)))),IF((AND(COUNTA(P4:R4)=1,Q4&gt;0)),Q4*((IF(VLOOKUP(D4,'2Рабочее время'!$A$1:$C$50,2,FALSE)&gt;0,VLOOKUP(D4,'2Рабочее время'!$A$1:$C$50,2,FALSE),VLOOKUP(D4,'2Рабочее время'!$A$1:$C$50,3,FALSE)))),IF((AND(COUNTA(P4:R4)=1,R4&gt;0)),R4*O4*IF(N4=0,0,IF(N4="Количество в месяц",1,IF(N4="Количество в неделю",4.285,IF(N4="Количество в день",IF(VLOOKUP(D4,'2Рабочее время'!$A$1:$C$50,2,FALSE)&gt;0,VLOOKUP(D4,'2Рабочее время'!$A$1:$C$50,2,FALSE),VLOOKUP(D4,'2Рабочее время'!$A$1:$C$50,3,FALSE)))))),0)))+IF((AND(COUNTA(S4:U4)=1,S4&gt;0)),S4*60*VLOOKUP(D4,'2Рабочее время'!$A:$L,4,FALSE)*((IF(VLOOKUP(D4,'2Рабочее время'!$A$1:$C$50,2,FALSE)&gt;0,VLOOKUP(D4,'2Рабочее время'!$A$1:$C$50,2,FALSE),VLOOKUP(D4,'2Рабочее время'!$A$1:$C$50,3,FALSE)))),IF((AND(COUNTA(P4:R4)=1,Q4&gt;0)),Q4*((IF(VLOOKUP(D4,'2Рабочее время'!$A$1:$C$50,2,FALSE)&gt;0,VLOOKUP(D4,'2Рабочее время'!$A$1:$C$50,2,FALSE),VLOOKUP(D4,'2Рабочее время'!$A$1:$C$50,3,FALSE)))),IF((AND(COUNTA(S4:U4)=1,T4&gt;0)),T4*((IF(VLOOKUP(D4,'2Рабочее время'!$A$1:$C$50,2,FALSE)&gt;0,VLOOKUP(D4,'2Рабочее время'!$A$1:$C$50,2,FALSE),VLOOKUP(D4,'2Рабочее время'!$A$1:$C$50,3,FALSE)))),IF((AND(COUNTA(S4:U4)=1,U4&gt;0)),U4*O4*IF(N4=0,0,IF(N4="Количество в месяц",1,IF(N4="Количество в неделю",4.285,IF(N4="Количество в день",IF(VLOOKUP(D4,'2Рабочее время'!$A$1:$C$50,2,FALSE)&gt;0,VLOOKUP(D4,'2Рабочее время'!$A$1:$C$50,2,FALSE),VLOOKUP(D4,'2Рабочее время'!$A$1:$C$50,3,FALSE)))))),0))))))</f>
        <v>0</v>
      </c>
      <c r="W4" s="120">
        <v>1</v>
      </c>
      <c r="X4" s="13">
        <f>IF(N4=0,0,IF(N4="Количество в месяц",L4*O4*W4,IF(N4="Количество в неделю",L4*O4*W4*4.285,IF(N4="Количество в день",L4*O4*W4*IF(VLOOKUP(D4,'2Рабочее время'!$A$1:$C$50,2,FALSE)&gt;0,VLOOKUP(D4,'2Рабочее время'!$A$1:$C$50,2,FALSE),VLOOKUP(D4,'2Рабочее время'!$A$1:$C$50,3,FALSE))))))+V4</f>
        <v>493.91999999999996</v>
      </c>
      <c r="Y4" s="13">
        <f t="shared" si="2"/>
        <v>8.2319999999999993</v>
      </c>
    </row>
    <row r="5" spans="1:26" s="3" customFormat="1" ht="57" customHeight="1" x14ac:dyDescent="0.25">
      <c r="A5" s="23">
        <v>4</v>
      </c>
      <c r="B5" s="23"/>
      <c r="C5" s="23"/>
      <c r="D5" s="118" t="s">
        <v>110</v>
      </c>
      <c r="E5" s="118"/>
      <c r="F5" s="122">
        <v>1</v>
      </c>
      <c r="G5" s="123" t="s">
        <v>68</v>
      </c>
      <c r="H5" s="123" t="s">
        <v>72</v>
      </c>
      <c r="I5" s="123" t="s">
        <v>124</v>
      </c>
      <c r="J5" s="118">
        <v>15</v>
      </c>
      <c r="K5" s="107">
        <v>20</v>
      </c>
      <c r="L5" s="13">
        <f t="shared" si="1"/>
        <v>17</v>
      </c>
      <c r="M5" s="123" t="s">
        <v>155</v>
      </c>
      <c r="N5" s="118" t="s">
        <v>0</v>
      </c>
      <c r="O5" s="118">
        <v>15</v>
      </c>
      <c r="P5" s="75"/>
      <c r="Q5" s="63"/>
      <c r="R5" s="63"/>
      <c r="S5" s="77"/>
      <c r="T5" s="63"/>
      <c r="U5" s="63"/>
      <c r="V5" s="119">
        <f>IF(OR(COUNTA(P5:R5)&gt;=2,COUNTA(S5:U5)&gt;=2),"ошибка",(IF((AND(COUNTA(P5:R5)=1,P5&gt;0)),P5*60*VLOOKUP(D5,'2Рабочее время'!$A:$L,4,FALSE)*((IF(VLOOKUP(D5,'2Рабочее время'!$A$1:$C$50,2,FALSE)&gt;0,VLOOKUP(D5,'2Рабочее время'!$A$1:$C$50,2,FALSE),VLOOKUP(D5,'2Рабочее время'!$A$1:$C$50,3,FALSE)))),IF((AND(COUNTA(P5:R5)=1,Q5&gt;0)),Q5*((IF(VLOOKUP(D5,'2Рабочее время'!$A$1:$C$50,2,FALSE)&gt;0,VLOOKUP(D5,'2Рабочее время'!$A$1:$C$50,2,FALSE),VLOOKUP(D5,'2Рабочее время'!$A$1:$C$50,3,FALSE)))),IF((AND(COUNTA(P5:R5)=1,R5&gt;0)),R5*O5*IF(N5=0,0,IF(N5="Количество в месяц",1,IF(N5="Количество в неделю",4.285,IF(N5="Количество в день",IF(VLOOKUP(D5,'2Рабочее время'!$A$1:$C$50,2,FALSE)&gt;0,VLOOKUP(D5,'2Рабочее время'!$A$1:$C$50,2,FALSE),VLOOKUP(D5,'2Рабочее время'!$A$1:$C$50,3,FALSE)))))),0)))+IF((AND(COUNTA(S5:U5)=1,S5&gt;0)),S5*60*VLOOKUP(D5,'2Рабочее время'!$A:$L,4,FALSE)*((IF(VLOOKUP(D5,'2Рабочее время'!$A$1:$C$50,2,FALSE)&gt;0,VLOOKUP(D5,'2Рабочее время'!$A$1:$C$50,2,FALSE),VLOOKUP(D5,'2Рабочее время'!$A$1:$C$50,3,FALSE)))),IF((AND(COUNTA(P5:R5)=1,Q5&gt;0)),Q5*((IF(VLOOKUP(D5,'2Рабочее время'!$A$1:$C$50,2,FALSE)&gt;0,VLOOKUP(D5,'2Рабочее время'!$A$1:$C$50,2,FALSE),VLOOKUP(D5,'2Рабочее время'!$A$1:$C$50,3,FALSE)))),IF((AND(COUNTA(S5:U5)=1,T5&gt;0)),T5*((IF(VLOOKUP(D5,'2Рабочее время'!$A$1:$C$50,2,FALSE)&gt;0,VLOOKUP(D5,'2Рабочее время'!$A$1:$C$50,2,FALSE),VLOOKUP(D5,'2Рабочее время'!$A$1:$C$50,3,FALSE)))),IF((AND(COUNTA(S5:U5)=1,U5&gt;0)),U5*O5*IF(N5=0,0,IF(N5="Количество в месяц",1,IF(N5="Количество в неделю",4.285,IF(N5="Количество в день",IF(VLOOKUP(D5,'2Рабочее время'!$A$1:$C$50,2,FALSE)&gt;0,VLOOKUP(D5,'2Рабочее время'!$A$1:$C$50,2,FALSE),VLOOKUP(D5,'2Рабочее время'!$A$1:$C$50,3,FALSE)))))),0))))))</f>
        <v>0</v>
      </c>
      <c r="W5" s="120">
        <v>1</v>
      </c>
      <c r="X5" s="13">
        <f>IF(N5=0,0,IF(N5="Количество в месяц",L5*O5*W5,IF(N5="Количество в неделю",L5*O5*W5*4.285,IF(N5="Количество в день",L5*O5*W5*IF(VLOOKUP(D5,'2Рабочее время'!$A$1:$C$50,2,FALSE)&gt;0,VLOOKUP(D5,'2Рабочее время'!$A$1:$C$50,2,FALSE),VLOOKUP(D5,'2Рабочее время'!$A$1:$C$50,3,FALSE))))))+V5</f>
        <v>255</v>
      </c>
      <c r="Y5" s="13">
        <f t="shared" si="2"/>
        <v>4.25</v>
      </c>
    </row>
    <row r="6" spans="1:26" s="3" customFormat="1" ht="57" customHeight="1" x14ac:dyDescent="0.25">
      <c r="A6" s="23">
        <v>5</v>
      </c>
      <c r="B6" s="23"/>
      <c r="C6" s="23"/>
      <c r="D6" s="118" t="s">
        <v>110</v>
      </c>
      <c r="E6" s="118"/>
      <c r="F6" s="122">
        <v>1</v>
      </c>
      <c r="G6" s="123" t="s">
        <v>68</v>
      </c>
      <c r="H6" s="123" t="s">
        <v>73</v>
      </c>
      <c r="I6" s="123" t="s">
        <v>124</v>
      </c>
      <c r="J6" s="118">
        <v>20</v>
      </c>
      <c r="K6" s="107">
        <v>35</v>
      </c>
      <c r="L6" s="13">
        <f t="shared" si="1"/>
        <v>26</v>
      </c>
      <c r="M6" s="123" t="s">
        <v>146</v>
      </c>
      <c r="N6" s="118" t="s">
        <v>0</v>
      </c>
      <c r="O6" s="118">
        <v>2</v>
      </c>
      <c r="P6" s="75"/>
      <c r="Q6" s="63"/>
      <c r="R6" s="63"/>
      <c r="S6" s="77"/>
      <c r="T6" s="63"/>
      <c r="U6" s="63"/>
      <c r="V6" s="119">
        <f>IF(OR(COUNTA(P6:R6)&gt;=2,COUNTA(S6:U6)&gt;=2),"ошибка",(IF((AND(COUNTA(P6:R6)=1,P6&gt;0)),P6*60*VLOOKUP(D6,'2Рабочее время'!$A:$L,4,FALSE)*((IF(VLOOKUP(D6,'2Рабочее время'!$A$1:$C$50,2,FALSE)&gt;0,VLOOKUP(D6,'2Рабочее время'!$A$1:$C$50,2,FALSE),VLOOKUP(D6,'2Рабочее время'!$A$1:$C$50,3,FALSE)))),IF((AND(COUNTA(P6:R6)=1,Q6&gt;0)),Q6*((IF(VLOOKUP(D6,'2Рабочее время'!$A$1:$C$50,2,FALSE)&gt;0,VLOOKUP(D6,'2Рабочее время'!$A$1:$C$50,2,FALSE),VLOOKUP(D6,'2Рабочее время'!$A$1:$C$50,3,FALSE)))),IF((AND(COUNTA(P6:R6)=1,R6&gt;0)),R6*O6*IF(N6=0,0,IF(N6="Количество в месяц",1,IF(N6="Количество в неделю",4.285,IF(N6="Количество в день",IF(VLOOKUP(D6,'2Рабочее время'!$A$1:$C$50,2,FALSE)&gt;0,VLOOKUP(D6,'2Рабочее время'!$A$1:$C$50,2,FALSE),VLOOKUP(D6,'2Рабочее время'!$A$1:$C$50,3,FALSE)))))),0)))+IF((AND(COUNTA(S6:U6)=1,S6&gt;0)),S6*60*VLOOKUP(D6,'2Рабочее время'!$A:$L,4,FALSE)*((IF(VLOOKUP(D6,'2Рабочее время'!$A$1:$C$50,2,FALSE)&gt;0,VLOOKUP(D6,'2Рабочее время'!$A$1:$C$50,2,FALSE),VLOOKUP(D6,'2Рабочее время'!$A$1:$C$50,3,FALSE)))),IF((AND(COUNTA(P6:R6)=1,Q6&gt;0)),Q6*((IF(VLOOKUP(D6,'2Рабочее время'!$A$1:$C$50,2,FALSE)&gt;0,VLOOKUP(D6,'2Рабочее время'!$A$1:$C$50,2,FALSE),VLOOKUP(D6,'2Рабочее время'!$A$1:$C$50,3,FALSE)))),IF((AND(COUNTA(S6:U6)=1,T6&gt;0)),T6*((IF(VLOOKUP(D6,'2Рабочее время'!$A$1:$C$50,2,FALSE)&gt;0,VLOOKUP(D6,'2Рабочее время'!$A$1:$C$50,2,FALSE),VLOOKUP(D6,'2Рабочее время'!$A$1:$C$50,3,FALSE)))),IF((AND(COUNTA(S6:U6)=1,U6&gt;0)),U6*O6*IF(N6=0,0,IF(N6="Количество в месяц",1,IF(N6="Количество в неделю",4.285,IF(N6="Количество в день",IF(VLOOKUP(D6,'2Рабочее время'!$A$1:$C$50,2,FALSE)&gt;0,VLOOKUP(D6,'2Рабочее время'!$A$1:$C$50,2,FALSE),VLOOKUP(D6,'2Рабочее время'!$A$1:$C$50,3,FALSE)))))),0))))))</f>
        <v>0</v>
      </c>
      <c r="W6" s="120">
        <v>1</v>
      </c>
      <c r="X6" s="13">
        <f>IF(N6=0,0,IF(N6="Количество в месяц",L6*O6*W6,IF(N6="Количество в неделю",L6*O6*W6*4.285,IF(N6="Количество в день",L6*O6*W6*IF(VLOOKUP(D6,'2Рабочее время'!$A$1:$C$50,2,FALSE)&gt;0,VLOOKUP(D6,'2Рабочее время'!$A$1:$C$50,2,FALSE),VLOOKUP(D6,'2Рабочее время'!$A$1:$C$50,3,FALSE))))))+V6</f>
        <v>52</v>
      </c>
      <c r="Y6" s="13">
        <f t="shared" si="2"/>
        <v>0.8666666666666667</v>
      </c>
    </row>
    <row r="7" spans="1:26" s="3" customFormat="1" ht="57" customHeight="1" x14ac:dyDescent="0.25">
      <c r="A7" s="23">
        <v>6</v>
      </c>
      <c r="B7" s="23"/>
      <c r="C7" s="23"/>
      <c r="D7" s="118" t="s">
        <v>108</v>
      </c>
      <c r="E7" s="118"/>
      <c r="F7" s="122">
        <v>1</v>
      </c>
      <c r="G7" s="124" t="s">
        <v>74</v>
      </c>
      <c r="H7" s="124" t="s">
        <v>75</v>
      </c>
      <c r="I7" s="123" t="s">
        <v>124</v>
      </c>
      <c r="J7" s="118">
        <v>360</v>
      </c>
      <c r="K7" s="107">
        <v>360</v>
      </c>
      <c r="L7" s="13">
        <f t="shared" si="1"/>
        <v>360</v>
      </c>
      <c r="M7" s="123" t="s">
        <v>146</v>
      </c>
      <c r="N7" s="118" t="s">
        <v>0</v>
      </c>
      <c r="O7" s="118">
        <v>1</v>
      </c>
      <c r="P7" s="75"/>
      <c r="Q7" s="63"/>
      <c r="R7" s="63"/>
      <c r="S7" s="77"/>
      <c r="T7" s="63"/>
      <c r="U7" s="63"/>
      <c r="V7" s="119">
        <f>IF(OR(COUNTA(P7:R7)&gt;=2,COUNTA(S7:U7)&gt;=2),"ошибка",(IF((AND(COUNTA(P7:R7)=1,P7&gt;0)),P7*60*VLOOKUP(D7,'2Рабочее время'!$A:$L,4,FALSE)*((IF(VLOOKUP(D7,'2Рабочее время'!$A$1:$C$50,2,FALSE)&gt;0,VLOOKUP(D7,'2Рабочее время'!$A$1:$C$50,2,FALSE),VLOOKUP(D7,'2Рабочее время'!$A$1:$C$50,3,FALSE)))),IF((AND(COUNTA(P7:R7)=1,Q7&gt;0)),Q7*((IF(VLOOKUP(D7,'2Рабочее время'!$A$1:$C$50,2,FALSE)&gt;0,VLOOKUP(D7,'2Рабочее время'!$A$1:$C$50,2,FALSE),VLOOKUP(D7,'2Рабочее время'!$A$1:$C$50,3,FALSE)))),IF((AND(COUNTA(P7:R7)=1,R7&gt;0)),R7*O7*IF(N7=0,0,IF(N7="Количество в месяц",1,IF(N7="Количество в неделю",4.285,IF(N7="Количество в день",IF(VLOOKUP(D7,'2Рабочее время'!$A$1:$C$50,2,FALSE)&gt;0,VLOOKUP(D7,'2Рабочее время'!$A$1:$C$50,2,FALSE),VLOOKUP(D7,'2Рабочее время'!$A$1:$C$50,3,FALSE)))))),0)))+IF((AND(COUNTA(S7:U7)=1,S7&gt;0)),S7*60*VLOOKUP(D7,'2Рабочее время'!$A:$L,4,FALSE)*((IF(VLOOKUP(D7,'2Рабочее время'!$A$1:$C$50,2,FALSE)&gt;0,VLOOKUP(D7,'2Рабочее время'!$A$1:$C$50,2,FALSE),VLOOKUP(D7,'2Рабочее время'!$A$1:$C$50,3,FALSE)))),IF((AND(COUNTA(P7:R7)=1,Q7&gt;0)),Q7*((IF(VLOOKUP(D7,'2Рабочее время'!$A$1:$C$50,2,FALSE)&gt;0,VLOOKUP(D7,'2Рабочее время'!$A$1:$C$50,2,FALSE),VLOOKUP(D7,'2Рабочее время'!$A$1:$C$50,3,FALSE)))),IF((AND(COUNTA(S7:U7)=1,T7&gt;0)),T7*((IF(VLOOKUP(D7,'2Рабочее время'!$A$1:$C$50,2,FALSE)&gt;0,VLOOKUP(D7,'2Рабочее время'!$A$1:$C$50,2,FALSE),VLOOKUP(D7,'2Рабочее время'!$A$1:$C$50,3,FALSE)))),IF((AND(COUNTA(S7:U7)=1,U7&gt;0)),U7*O7*IF(N7=0,0,IF(N7="Количество в месяц",1,IF(N7="Количество в неделю",4.285,IF(N7="Количество в день",IF(VLOOKUP(D7,'2Рабочее время'!$A$1:$C$50,2,FALSE)&gt;0,VLOOKUP(D7,'2Рабочее время'!$A$1:$C$50,2,FALSE),VLOOKUP(D7,'2Рабочее время'!$A$1:$C$50,3,FALSE)))))),0))))))</f>
        <v>0</v>
      </c>
      <c r="W7" s="120">
        <v>1</v>
      </c>
      <c r="X7" s="13">
        <f>IF(N7=0,0,IF(N7="Количество в месяц",L7*O7*W7,IF(N7="Количество в неделю",L7*O7*W7*4.285,IF(N7="Количество в день",L7*O7*W7*IF(VLOOKUP(D7,'2Рабочее время'!$A$1:$C$50,2,FALSE)&gt;0,VLOOKUP(D7,'2Рабочее время'!$A$1:$C$50,2,FALSE),VLOOKUP(D7,'2Рабочее время'!$A$1:$C$50,3,FALSE))))))+V7</f>
        <v>360</v>
      </c>
      <c r="Y7" s="13">
        <f t="shared" si="2"/>
        <v>6</v>
      </c>
    </row>
    <row r="8" spans="1:26" s="3" customFormat="1" ht="57" customHeight="1" x14ac:dyDescent="0.25">
      <c r="A8" s="23">
        <v>7</v>
      </c>
      <c r="B8" s="23"/>
      <c r="C8" s="23"/>
      <c r="D8" s="118" t="s">
        <v>108</v>
      </c>
      <c r="E8" s="118"/>
      <c r="F8" s="122">
        <v>1</v>
      </c>
      <c r="G8" s="124" t="s">
        <v>74</v>
      </c>
      <c r="H8" s="124" t="s">
        <v>151</v>
      </c>
      <c r="I8" s="123" t="s">
        <v>124</v>
      </c>
      <c r="J8" s="118">
        <v>60</v>
      </c>
      <c r="K8" s="107">
        <v>70</v>
      </c>
      <c r="L8" s="13">
        <f t="shared" si="1"/>
        <v>64</v>
      </c>
      <c r="M8" s="123" t="s">
        <v>146</v>
      </c>
      <c r="N8" s="118" t="s">
        <v>0</v>
      </c>
      <c r="O8" s="118">
        <v>2</v>
      </c>
      <c r="P8" s="75"/>
      <c r="Q8" s="63"/>
      <c r="R8" s="63"/>
      <c r="S8" s="77"/>
      <c r="T8" s="63"/>
      <c r="U8" s="63"/>
      <c r="V8" s="119">
        <f>IF(OR(COUNTA(P8:R8)&gt;=2,COUNTA(S8:U8)&gt;=2),"ошибка",(IF((AND(COUNTA(P8:R8)=1,P8&gt;0)),P8*60*VLOOKUP(D8,'2Рабочее время'!$A:$L,4,FALSE)*((IF(VLOOKUP(D8,'2Рабочее время'!$A$1:$C$50,2,FALSE)&gt;0,VLOOKUP(D8,'2Рабочее время'!$A$1:$C$50,2,FALSE),VLOOKUP(D8,'2Рабочее время'!$A$1:$C$50,3,FALSE)))),IF((AND(COUNTA(P8:R8)=1,Q8&gt;0)),Q8*((IF(VLOOKUP(D8,'2Рабочее время'!$A$1:$C$50,2,FALSE)&gt;0,VLOOKUP(D8,'2Рабочее время'!$A$1:$C$50,2,FALSE),VLOOKUP(D8,'2Рабочее время'!$A$1:$C$50,3,FALSE)))),IF((AND(COUNTA(P8:R8)=1,R8&gt;0)),R8*O8*IF(N8=0,0,IF(N8="Количество в месяц",1,IF(N8="Количество в неделю",4.285,IF(N8="Количество в день",IF(VLOOKUP(D8,'2Рабочее время'!$A$1:$C$50,2,FALSE)&gt;0,VLOOKUP(D8,'2Рабочее время'!$A$1:$C$50,2,FALSE),VLOOKUP(D8,'2Рабочее время'!$A$1:$C$50,3,FALSE)))))),0)))+IF((AND(COUNTA(S8:U8)=1,S8&gt;0)),S8*60*VLOOKUP(D8,'2Рабочее время'!$A:$L,4,FALSE)*((IF(VLOOKUP(D8,'2Рабочее время'!$A$1:$C$50,2,FALSE)&gt;0,VLOOKUP(D8,'2Рабочее время'!$A$1:$C$50,2,FALSE),VLOOKUP(D8,'2Рабочее время'!$A$1:$C$50,3,FALSE)))),IF((AND(COUNTA(P8:R8)=1,Q8&gt;0)),Q8*((IF(VLOOKUP(D8,'2Рабочее время'!$A$1:$C$50,2,FALSE)&gt;0,VLOOKUP(D8,'2Рабочее время'!$A$1:$C$50,2,FALSE),VLOOKUP(D8,'2Рабочее время'!$A$1:$C$50,3,FALSE)))),IF((AND(COUNTA(S8:U8)=1,T8&gt;0)),T8*((IF(VLOOKUP(D8,'2Рабочее время'!$A$1:$C$50,2,FALSE)&gt;0,VLOOKUP(D8,'2Рабочее время'!$A$1:$C$50,2,FALSE),VLOOKUP(D8,'2Рабочее время'!$A$1:$C$50,3,FALSE)))),IF((AND(COUNTA(S8:U8)=1,U8&gt;0)),U8*O8*IF(N8=0,0,IF(N8="Количество в месяц",1,IF(N8="Количество в неделю",4.285,IF(N8="Количество в день",IF(VLOOKUP(D8,'2Рабочее время'!$A$1:$C$50,2,FALSE)&gt;0,VLOOKUP(D8,'2Рабочее время'!$A$1:$C$50,2,FALSE),VLOOKUP(D8,'2Рабочее время'!$A$1:$C$50,3,FALSE)))))),0))))))</f>
        <v>0</v>
      </c>
      <c r="W8" s="120">
        <v>1</v>
      </c>
      <c r="X8" s="13">
        <f>IF(N8=0,0,IF(N8="Количество в месяц",L8*O8*W8,IF(N8="Количество в неделю",L8*O8*W8*4.285,IF(N8="Количество в день",L8*O8*W8*IF(VLOOKUP(D8,'2Рабочее время'!$A$1:$C$50,2,FALSE)&gt;0,VLOOKUP(D8,'2Рабочее время'!$A$1:$C$50,2,FALSE),VLOOKUP(D8,'2Рабочее время'!$A$1:$C$50,3,FALSE))))))+V8</f>
        <v>128</v>
      </c>
      <c r="Y8" s="13">
        <f t="shared" ref="Y8:Y71" si="3">X8/60</f>
        <v>2.1333333333333333</v>
      </c>
    </row>
    <row r="9" spans="1:26" s="3" customFormat="1" ht="57" customHeight="1" x14ac:dyDescent="0.25">
      <c r="A9" s="23">
        <v>8</v>
      </c>
      <c r="B9" s="23"/>
      <c r="C9" s="23"/>
      <c r="D9" s="118" t="s">
        <v>108</v>
      </c>
      <c r="E9" s="118"/>
      <c r="F9" s="122">
        <v>1</v>
      </c>
      <c r="G9" s="123" t="s">
        <v>76</v>
      </c>
      <c r="H9" s="123" t="s">
        <v>77</v>
      </c>
      <c r="I9" s="123" t="s">
        <v>124</v>
      </c>
      <c r="J9" s="118">
        <v>180</v>
      </c>
      <c r="K9" s="107">
        <v>240</v>
      </c>
      <c r="L9" s="13">
        <f t="shared" si="1"/>
        <v>204</v>
      </c>
      <c r="M9" s="123" t="s">
        <v>146</v>
      </c>
      <c r="N9" s="118" t="s">
        <v>0</v>
      </c>
      <c r="O9" s="118">
        <v>3</v>
      </c>
      <c r="P9" s="75"/>
      <c r="Q9" s="63"/>
      <c r="R9" s="63"/>
      <c r="S9" s="77"/>
      <c r="T9" s="63"/>
      <c r="U9" s="63"/>
      <c r="V9" s="119">
        <f>IF(OR(COUNTA(P9:R9)&gt;=2,COUNTA(S9:U9)&gt;=2),"ошибка",(IF((AND(COUNTA(P9:R9)=1,P9&gt;0)),P9*60*VLOOKUP(D9,'2Рабочее время'!$A:$L,4,FALSE)*((IF(VLOOKUP(D9,'2Рабочее время'!$A$1:$C$50,2,FALSE)&gt;0,VLOOKUP(D9,'2Рабочее время'!$A$1:$C$50,2,FALSE),VLOOKUP(D9,'2Рабочее время'!$A$1:$C$50,3,FALSE)))),IF((AND(COUNTA(P9:R9)=1,Q9&gt;0)),Q9*((IF(VLOOKUP(D9,'2Рабочее время'!$A$1:$C$50,2,FALSE)&gt;0,VLOOKUP(D9,'2Рабочее время'!$A$1:$C$50,2,FALSE),VLOOKUP(D9,'2Рабочее время'!$A$1:$C$50,3,FALSE)))),IF((AND(COUNTA(P9:R9)=1,R9&gt;0)),R9*O9*IF(N9=0,0,IF(N9="Количество в месяц",1,IF(N9="Количество в неделю",4.285,IF(N9="Количество в день",IF(VLOOKUP(D9,'2Рабочее время'!$A$1:$C$50,2,FALSE)&gt;0,VLOOKUP(D9,'2Рабочее время'!$A$1:$C$50,2,FALSE),VLOOKUP(D9,'2Рабочее время'!$A$1:$C$50,3,FALSE)))))),0)))+IF((AND(COUNTA(S9:U9)=1,S9&gt;0)),S9*60*VLOOKUP(D9,'2Рабочее время'!$A:$L,4,FALSE)*((IF(VLOOKUP(D9,'2Рабочее время'!$A$1:$C$50,2,FALSE)&gt;0,VLOOKUP(D9,'2Рабочее время'!$A$1:$C$50,2,FALSE),VLOOKUP(D9,'2Рабочее время'!$A$1:$C$50,3,FALSE)))),IF((AND(COUNTA(P9:R9)=1,Q9&gt;0)),Q9*((IF(VLOOKUP(D9,'2Рабочее время'!$A$1:$C$50,2,FALSE)&gt;0,VLOOKUP(D9,'2Рабочее время'!$A$1:$C$50,2,FALSE),VLOOKUP(D9,'2Рабочее время'!$A$1:$C$50,3,FALSE)))),IF((AND(COUNTA(S9:U9)=1,T9&gt;0)),T9*((IF(VLOOKUP(D9,'2Рабочее время'!$A$1:$C$50,2,FALSE)&gt;0,VLOOKUP(D9,'2Рабочее время'!$A$1:$C$50,2,FALSE),VLOOKUP(D9,'2Рабочее время'!$A$1:$C$50,3,FALSE)))),IF((AND(COUNTA(S9:U9)=1,U9&gt;0)),U9*O9*IF(N9=0,0,IF(N9="Количество в месяц",1,IF(N9="Количество в неделю",4.285,IF(N9="Количество в день",IF(VLOOKUP(D9,'2Рабочее время'!$A$1:$C$50,2,FALSE)&gt;0,VLOOKUP(D9,'2Рабочее время'!$A$1:$C$50,2,FALSE),VLOOKUP(D9,'2Рабочее время'!$A$1:$C$50,3,FALSE)))))),0))))))</f>
        <v>0</v>
      </c>
      <c r="W9" s="120">
        <v>1</v>
      </c>
      <c r="X9" s="13">
        <f>IF(N9=0,0,IF(N9="Количество в месяц",L9*O9*W9,IF(N9="Количество в неделю",L9*O9*W9*4.285,IF(N9="Количество в день",L9*O9*W9*IF(VLOOKUP(D9,'2Рабочее время'!$A$1:$C$50,2,FALSE)&gt;0,VLOOKUP(D9,'2Рабочее время'!$A$1:$C$50,2,FALSE),VLOOKUP(D9,'2Рабочее время'!$A$1:$C$50,3,FALSE))))))+V9</f>
        <v>612</v>
      </c>
      <c r="Y9" s="13">
        <f t="shared" si="3"/>
        <v>10.199999999999999</v>
      </c>
    </row>
    <row r="10" spans="1:26" s="3" customFormat="1" ht="57" customHeight="1" x14ac:dyDescent="0.25">
      <c r="A10" s="23">
        <v>9</v>
      </c>
      <c r="B10" s="23"/>
      <c r="C10" s="23"/>
      <c r="D10" s="118" t="s">
        <v>112</v>
      </c>
      <c r="E10" s="118"/>
      <c r="F10" s="122">
        <v>1</v>
      </c>
      <c r="G10" s="123" t="s">
        <v>78</v>
      </c>
      <c r="H10" s="123" t="s">
        <v>152</v>
      </c>
      <c r="I10" s="123" t="s">
        <v>137</v>
      </c>
      <c r="J10" s="118">
        <v>20</v>
      </c>
      <c r="K10" s="107">
        <v>30</v>
      </c>
      <c r="L10" s="13">
        <f t="shared" si="1"/>
        <v>24</v>
      </c>
      <c r="M10" s="123" t="s">
        <v>146</v>
      </c>
      <c r="N10" s="118" t="s">
        <v>0</v>
      </c>
      <c r="O10" s="118">
        <v>4</v>
      </c>
      <c r="P10" s="75"/>
      <c r="Q10" s="63"/>
      <c r="R10" s="63"/>
      <c r="S10" s="77"/>
      <c r="T10" s="63"/>
      <c r="U10" s="63"/>
      <c r="V10" s="119">
        <f>IF(OR(COUNTA(P10:R10)&gt;=2,COUNTA(S10:U10)&gt;=2),"ошибка",(IF((AND(COUNTA(P10:R10)=1,P10&gt;0)),P10*60*VLOOKUP(D10,'2Рабочее время'!$A:$L,4,FALSE)*((IF(VLOOKUP(D10,'2Рабочее время'!$A$1:$C$50,2,FALSE)&gt;0,VLOOKUP(D10,'2Рабочее время'!$A$1:$C$50,2,FALSE),VLOOKUP(D10,'2Рабочее время'!$A$1:$C$50,3,FALSE)))),IF((AND(COUNTA(P10:R10)=1,Q10&gt;0)),Q10*((IF(VLOOKUP(D10,'2Рабочее время'!$A$1:$C$50,2,FALSE)&gt;0,VLOOKUP(D10,'2Рабочее время'!$A$1:$C$50,2,FALSE),VLOOKUP(D10,'2Рабочее время'!$A$1:$C$50,3,FALSE)))),IF((AND(COUNTA(P10:R10)=1,R10&gt;0)),R10*O10*IF(N10=0,0,IF(N10="Количество в месяц",1,IF(N10="Количество в неделю",4.285,IF(N10="Количество в день",IF(VLOOKUP(D10,'2Рабочее время'!$A$1:$C$50,2,FALSE)&gt;0,VLOOKUP(D10,'2Рабочее время'!$A$1:$C$50,2,FALSE),VLOOKUP(D10,'2Рабочее время'!$A$1:$C$50,3,FALSE)))))),0)))+IF((AND(COUNTA(S10:U10)=1,S10&gt;0)),S10*60*VLOOKUP(D10,'2Рабочее время'!$A:$L,4,FALSE)*((IF(VLOOKUP(D10,'2Рабочее время'!$A$1:$C$50,2,FALSE)&gt;0,VLOOKUP(D10,'2Рабочее время'!$A$1:$C$50,2,FALSE),VLOOKUP(D10,'2Рабочее время'!$A$1:$C$50,3,FALSE)))),IF((AND(COUNTA(P10:R10)=1,Q10&gt;0)),Q10*((IF(VLOOKUP(D10,'2Рабочее время'!$A$1:$C$50,2,FALSE)&gt;0,VLOOKUP(D10,'2Рабочее время'!$A$1:$C$50,2,FALSE),VLOOKUP(D10,'2Рабочее время'!$A$1:$C$50,3,FALSE)))),IF((AND(COUNTA(S10:U10)=1,T10&gt;0)),T10*((IF(VLOOKUP(D10,'2Рабочее время'!$A$1:$C$50,2,FALSE)&gt;0,VLOOKUP(D10,'2Рабочее время'!$A$1:$C$50,2,FALSE),VLOOKUP(D10,'2Рабочее время'!$A$1:$C$50,3,FALSE)))),IF((AND(COUNTA(S10:U10)=1,U10&gt;0)),U10*O10*IF(N10=0,0,IF(N10="Количество в месяц",1,IF(N10="Количество в неделю",4.285,IF(N10="Количество в день",IF(VLOOKUP(D10,'2Рабочее время'!$A$1:$C$50,2,FALSE)&gt;0,VLOOKUP(D10,'2Рабочее время'!$A$1:$C$50,2,FALSE),VLOOKUP(D10,'2Рабочее время'!$A$1:$C$50,3,FALSE)))))),0))))))</f>
        <v>0</v>
      </c>
      <c r="W10" s="120">
        <v>1</v>
      </c>
      <c r="X10" s="13">
        <f>IF(N10=0,0,IF(N10="Количество в месяц",L10*O10*W10,IF(N10="Количество в неделю",L10*O10*W10*4.285,IF(N10="Количество в день",L10*O10*W10*IF(VLOOKUP(D10,'2Рабочее время'!$A$1:$C$50,2,FALSE)&gt;0,VLOOKUP(D10,'2Рабочее время'!$A$1:$C$50,2,FALSE),VLOOKUP(D10,'2Рабочее время'!$A$1:$C$50,3,FALSE))))))+V10</f>
        <v>96</v>
      </c>
      <c r="Y10" s="13">
        <f t="shared" si="3"/>
        <v>1.6</v>
      </c>
    </row>
    <row r="11" spans="1:26" s="3" customFormat="1" ht="75" customHeight="1" x14ac:dyDescent="0.25">
      <c r="A11" s="23">
        <v>10</v>
      </c>
      <c r="B11" s="23"/>
      <c r="C11" s="23"/>
      <c r="D11" s="118" t="s">
        <v>157</v>
      </c>
      <c r="E11" s="118"/>
      <c r="F11" s="122">
        <v>1</v>
      </c>
      <c r="G11" s="123" t="s">
        <v>78</v>
      </c>
      <c r="H11" s="123" t="s">
        <v>138</v>
      </c>
      <c r="I11" s="123" t="s">
        <v>129</v>
      </c>
      <c r="J11" s="118">
        <v>10</v>
      </c>
      <c r="K11" s="107">
        <v>15</v>
      </c>
      <c r="L11" s="13">
        <f t="shared" si="1"/>
        <v>12</v>
      </c>
      <c r="M11" s="123" t="s">
        <v>156</v>
      </c>
      <c r="N11" s="118" t="s">
        <v>0</v>
      </c>
      <c r="O11" s="118">
        <v>40</v>
      </c>
      <c r="P11" s="75"/>
      <c r="Q11" s="63"/>
      <c r="R11" s="63"/>
      <c r="S11" s="77"/>
      <c r="T11" s="63"/>
      <c r="U11" s="63"/>
      <c r="V11" s="119">
        <f>IF(OR(COUNTA(P11:R11)&gt;=2,COUNTA(S11:U11)&gt;=2),"ошибка",(IF((AND(COUNTA(P11:R11)=1,P11&gt;0)),P11*60*VLOOKUP(D11,'2Рабочее время'!$A:$L,4,FALSE)*((IF(VLOOKUP(D11,'2Рабочее время'!$A$1:$C$50,2,FALSE)&gt;0,VLOOKUP(D11,'2Рабочее время'!$A$1:$C$50,2,FALSE),VLOOKUP(D11,'2Рабочее время'!$A$1:$C$50,3,FALSE)))),IF((AND(COUNTA(P11:R11)=1,Q11&gt;0)),Q11*((IF(VLOOKUP(D11,'2Рабочее время'!$A$1:$C$50,2,FALSE)&gt;0,VLOOKUP(D11,'2Рабочее время'!$A$1:$C$50,2,FALSE),VLOOKUP(D11,'2Рабочее время'!$A$1:$C$50,3,FALSE)))),IF((AND(COUNTA(P11:R11)=1,R11&gt;0)),R11*O11*IF(N11=0,0,IF(N11="Количество в месяц",1,IF(N11="Количество в неделю",4.285,IF(N11="Количество в день",IF(VLOOKUP(D11,'2Рабочее время'!$A$1:$C$50,2,FALSE)&gt;0,VLOOKUP(D11,'2Рабочее время'!$A$1:$C$50,2,FALSE),VLOOKUP(D11,'2Рабочее время'!$A$1:$C$50,3,FALSE)))))),0)))+IF((AND(COUNTA(S11:U11)=1,S11&gt;0)),S11*60*VLOOKUP(D11,'2Рабочее время'!$A:$L,4,FALSE)*((IF(VLOOKUP(D11,'2Рабочее время'!$A$1:$C$50,2,FALSE)&gt;0,VLOOKUP(D11,'2Рабочее время'!$A$1:$C$50,2,FALSE),VLOOKUP(D11,'2Рабочее время'!$A$1:$C$50,3,FALSE)))),IF((AND(COUNTA(P11:R11)=1,Q11&gt;0)),Q11*((IF(VLOOKUP(D11,'2Рабочее время'!$A$1:$C$50,2,FALSE)&gt;0,VLOOKUP(D11,'2Рабочее время'!$A$1:$C$50,2,FALSE),VLOOKUP(D11,'2Рабочее время'!$A$1:$C$50,3,FALSE)))),IF((AND(COUNTA(S11:U11)=1,T11&gt;0)),T11*((IF(VLOOKUP(D11,'2Рабочее время'!$A$1:$C$50,2,FALSE)&gt;0,VLOOKUP(D11,'2Рабочее время'!$A$1:$C$50,2,FALSE),VLOOKUP(D11,'2Рабочее время'!$A$1:$C$50,3,FALSE)))),IF((AND(COUNTA(S11:U11)=1,U11&gt;0)),U11*O11*IF(N11=0,0,IF(N11="Количество в месяц",1,IF(N11="Количество в неделю",4.285,IF(N11="Количество в день",IF(VLOOKUP(D11,'2Рабочее время'!$A$1:$C$50,2,FALSE)&gt;0,VLOOKUP(D11,'2Рабочее время'!$A$1:$C$50,2,FALSE),VLOOKUP(D11,'2Рабочее время'!$A$1:$C$50,3,FALSE)))))),0))))))</f>
        <v>0</v>
      </c>
      <c r="W11" s="120">
        <v>1</v>
      </c>
      <c r="X11" s="13">
        <f>IF(N11=0,0,IF(N11="Количество в месяц",L11*O11*W11,IF(N11="Количество в неделю",L11*O11*W11*4.285,IF(N11="Количество в день",L11*O11*W11*IF(VLOOKUP(D11,'2Рабочее время'!$A$1:$C$50,2,FALSE)&gt;0,VLOOKUP(D11,'2Рабочее время'!$A$1:$C$50,2,FALSE),VLOOKUP(D11,'2Рабочее время'!$A$1:$C$50,3,FALSE))))))+V11</f>
        <v>480</v>
      </c>
      <c r="Y11" s="13">
        <f t="shared" si="3"/>
        <v>8</v>
      </c>
    </row>
    <row r="12" spans="1:26" s="3" customFormat="1" ht="57" customHeight="1" x14ac:dyDescent="0.25">
      <c r="A12" s="23">
        <v>11</v>
      </c>
      <c r="B12" s="23"/>
      <c r="C12" s="23"/>
      <c r="D12" s="118" t="s">
        <v>157</v>
      </c>
      <c r="E12" s="118"/>
      <c r="F12" s="122">
        <v>1</v>
      </c>
      <c r="G12" s="123" t="s">
        <v>78</v>
      </c>
      <c r="H12" s="123" t="s">
        <v>139</v>
      </c>
      <c r="I12" s="123" t="s">
        <v>158</v>
      </c>
      <c r="J12" s="118">
        <v>15</v>
      </c>
      <c r="K12" s="107">
        <v>30</v>
      </c>
      <c r="L12" s="13">
        <f t="shared" si="1"/>
        <v>21</v>
      </c>
      <c r="M12" s="123" t="s">
        <v>146</v>
      </c>
      <c r="N12" s="118" t="s">
        <v>0</v>
      </c>
      <c r="O12" s="118">
        <v>7</v>
      </c>
      <c r="P12" s="75"/>
      <c r="Q12" s="63"/>
      <c r="R12" s="63"/>
      <c r="S12" s="77"/>
      <c r="T12" s="63"/>
      <c r="U12" s="63"/>
      <c r="V12" s="119">
        <f>IF(OR(COUNTA(P12:R12)&gt;=2,COUNTA(S12:U12)&gt;=2),"ошибка",(IF((AND(COUNTA(P12:R12)=1,P12&gt;0)),P12*60*VLOOKUP(D12,'2Рабочее время'!$A:$L,4,FALSE)*((IF(VLOOKUP(D12,'2Рабочее время'!$A$1:$C$50,2,FALSE)&gt;0,VLOOKUP(D12,'2Рабочее время'!$A$1:$C$50,2,FALSE),VLOOKUP(D12,'2Рабочее время'!$A$1:$C$50,3,FALSE)))),IF((AND(COUNTA(P12:R12)=1,Q12&gt;0)),Q12*((IF(VLOOKUP(D12,'2Рабочее время'!$A$1:$C$50,2,FALSE)&gt;0,VLOOKUP(D12,'2Рабочее время'!$A$1:$C$50,2,FALSE),VLOOKUP(D12,'2Рабочее время'!$A$1:$C$50,3,FALSE)))),IF((AND(COUNTA(P12:R12)=1,R12&gt;0)),R12*O12*IF(N12=0,0,IF(N12="Количество в месяц",1,IF(N12="Количество в неделю",4.285,IF(N12="Количество в день",IF(VLOOKUP(D12,'2Рабочее время'!$A$1:$C$50,2,FALSE)&gt;0,VLOOKUP(D12,'2Рабочее время'!$A$1:$C$50,2,FALSE),VLOOKUP(D12,'2Рабочее время'!$A$1:$C$50,3,FALSE)))))),0)))+IF((AND(COUNTA(S12:U12)=1,S12&gt;0)),S12*60*VLOOKUP(D12,'2Рабочее время'!$A:$L,4,FALSE)*((IF(VLOOKUP(D12,'2Рабочее время'!$A$1:$C$50,2,FALSE)&gt;0,VLOOKUP(D12,'2Рабочее время'!$A$1:$C$50,2,FALSE),VLOOKUP(D12,'2Рабочее время'!$A$1:$C$50,3,FALSE)))),IF((AND(COUNTA(P12:R12)=1,Q12&gt;0)),Q12*((IF(VLOOKUP(D12,'2Рабочее время'!$A$1:$C$50,2,FALSE)&gt;0,VLOOKUP(D12,'2Рабочее время'!$A$1:$C$50,2,FALSE),VLOOKUP(D12,'2Рабочее время'!$A$1:$C$50,3,FALSE)))),IF((AND(COUNTA(S12:U12)=1,T12&gt;0)),T12*((IF(VLOOKUP(D12,'2Рабочее время'!$A$1:$C$50,2,FALSE)&gt;0,VLOOKUP(D12,'2Рабочее время'!$A$1:$C$50,2,FALSE),VLOOKUP(D12,'2Рабочее время'!$A$1:$C$50,3,FALSE)))),IF((AND(COUNTA(S12:U12)=1,U12&gt;0)),U12*O12*IF(N12=0,0,IF(N12="Количество в месяц",1,IF(N12="Количество в неделю",4.285,IF(N12="Количество в день",IF(VLOOKUP(D12,'2Рабочее время'!$A$1:$C$50,2,FALSE)&gt;0,VLOOKUP(D12,'2Рабочее время'!$A$1:$C$50,2,FALSE),VLOOKUP(D12,'2Рабочее время'!$A$1:$C$50,3,FALSE)))))),0))))))</f>
        <v>0</v>
      </c>
      <c r="W12" s="120">
        <v>1</v>
      </c>
      <c r="X12" s="13">
        <f>IF(N12=0,0,IF(N12="Количество в месяц",L12*O12*W12,IF(N12="Количество в неделю",L12*O12*W12*4.285,IF(N12="Количество в день",L12*O12*W12*IF(VLOOKUP(D12,'2Рабочее время'!$A$1:$C$50,2,FALSE)&gt;0,VLOOKUP(D12,'2Рабочее время'!$A$1:$C$50,2,FALSE),VLOOKUP(D12,'2Рабочее время'!$A$1:$C$50,3,FALSE))))))+V12</f>
        <v>147</v>
      </c>
      <c r="Y12" s="13">
        <f t="shared" si="3"/>
        <v>2.4500000000000002</v>
      </c>
    </row>
    <row r="13" spans="1:26" s="3" customFormat="1" ht="57" customHeight="1" x14ac:dyDescent="0.25">
      <c r="A13" s="23">
        <v>12</v>
      </c>
      <c r="B13" s="23"/>
      <c r="C13" s="23"/>
      <c r="D13" s="118" t="s">
        <v>157</v>
      </c>
      <c r="E13" s="118"/>
      <c r="F13" s="122">
        <v>1</v>
      </c>
      <c r="G13" s="123" t="s">
        <v>78</v>
      </c>
      <c r="H13" s="123" t="s">
        <v>79</v>
      </c>
      <c r="I13" s="123" t="s">
        <v>124</v>
      </c>
      <c r="J13" s="118">
        <v>60</v>
      </c>
      <c r="K13" s="107">
        <v>90</v>
      </c>
      <c r="L13" s="13">
        <f t="shared" si="1"/>
        <v>72</v>
      </c>
      <c r="M13" s="123" t="s">
        <v>104</v>
      </c>
      <c r="N13" s="118" t="s">
        <v>0</v>
      </c>
      <c r="O13" s="118">
        <v>7</v>
      </c>
      <c r="P13" s="75"/>
      <c r="Q13" s="63"/>
      <c r="R13" s="63"/>
      <c r="S13" s="77"/>
      <c r="T13" s="63"/>
      <c r="U13" s="63"/>
      <c r="V13" s="119">
        <f>IF(OR(COUNTA(P13:R13)&gt;=2,COUNTA(S13:U13)&gt;=2),"ошибка",(IF((AND(COUNTA(P13:R13)=1,P13&gt;0)),P13*60*VLOOKUP(D13,'2Рабочее время'!$A:$L,4,FALSE)*((IF(VLOOKUP(D13,'2Рабочее время'!$A$1:$C$50,2,FALSE)&gt;0,VLOOKUP(D13,'2Рабочее время'!$A$1:$C$50,2,FALSE),VLOOKUP(D13,'2Рабочее время'!$A$1:$C$50,3,FALSE)))),IF((AND(COUNTA(P13:R13)=1,Q13&gt;0)),Q13*((IF(VLOOKUP(D13,'2Рабочее время'!$A$1:$C$50,2,FALSE)&gt;0,VLOOKUP(D13,'2Рабочее время'!$A$1:$C$50,2,FALSE),VLOOKUP(D13,'2Рабочее время'!$A$1:$C$50,3,FALSE)))),IF((AND(COUNTA(P13:R13)=1,R13&gt;0)),R13*O13*IF(N13=0,0,IF(N13="Количество в месяц",1,IF(N13="Количество в неделю",4.285,IF(N13="Количество в день",IF(VLOOKUP(D13,'2Рабочее время'!$A$1:$C$50,2,FALSE)&gt;0,VLOOKUP(D13,'2Рабочее время'!$A$1:$C$50,2,FALSE),VLOOKUP(D13,'2Рабочее время'!$A$1:$C$50,3,FALSE)))))),0)))+IF((AND(COUNTA(S13:U13)=1,S13&gt;0)),S13*60*VLOOKUP(D13,'2Рабочее время'!$A:$L,4,FALSE)*((IF(VLOOKUP(D13,'2Рабочее время'!$A$1:$C$50,2,FALSE)&gt;0,VLOOKUP(D13,'2Рабочее время'!$A$1:$C$50,2,FALSE),VLOOKUP(D13,'2Рабочее время'!$A$1:$C$50,3,FALSE)))),IF((AND(COUNTA(P13:R13)=1,Q13&gt;0)),Q13*((IF(VLOOKUP(D13,'2Рабочее время'!$A$1:$C$50,2,FALSE)&gt;0,VLOOKUP(D13,'2Рабочее время'!$A$1:$C$50,2,FALSE),VLOOKUP(D13,'2Рабочее время'!$A$1:$C$50,3,FALSE)))),IF((AND(COUNTA(S13:U13)=1,T13&gt;0)),T13*((IF(VLOOKUP(D13,'2Рабочее время'!$A$1:$C$50,2,FALSE)&gt;0,VLOOKUP(D13,'2Рабочее время'!$A$1:$C$50,2,FALSE),VLOOKUP(D13,'2Рабочее время'!$A$1:$C$50,3,FALSE)))),IF((AND(COUNTA(S13:U13)=1,U13&gt;0)),U13*O13*IF(N13=0,0,IF(N13="Количество в месяц",1,IF(N13="Количество в неделю",4.285,IF(N13="Количество в день",IF(VLOOKUP(D13,'2Рабочее время'!$A$1:$C$50,2,FALSE)&gt;0,VLOOKUP(D13,'2Рабочее время'!$A$1:$C$50,2,FALSE),VLOOKUP(D13,'2Рабочее время'!$A$1:$C$50,3,FALSE)))))),0))))))</f>
        <v>0</v>
      </c>
      <c r="W13" s="120">
        <v>1</v>
      </c>
      <c r="X13" s="13">
        <f>IF(N13=0,0,IF(N13="Количество в месяц",L13*O13*W13,IF(N13="Количество в неделю",L13*O13*W13*4.285,IF(N13="Количество в день",L13*O13*W13*IF(VLOOKUP(D13,'2Рабочее время'!$A$1:$C$50,2,FALSE)&gt;0,VLOOKUP(D13,'2Рабочее время'!$A$1:$C$50,2,FALSE),VLOOKUP(D13,'2Рабочее время'!$A$1:$C$50,3,FALSE))))))+V13</f>
        <v>504</v>
      </c>
      <c r="Y13" s="13">
        <f t="shared" si="3"/>
        <v>8.4</v>
      </c>
    </row>
    <row r="14" spans="1:26" s="3" customFormat="1" ht="57" customHeight="1" x14ac:dyDescent="0.25">
      <c r="A14" s="23">
        <v>13</v>
      </c>
      <c r="B14" s="23"/>
      <c r="C14" s="23"/>
      <c r="D14" s="118" t="s">
        <v>111</v>
      </c>
      <c r="E14" s="118"/>
      <c r="F14" s="122">
        <v>1</v>
      </c>
      <c r="G14" s="123" t="s">
        <v>80</v>
      </c>
      <c r="H14" s="123" t="s">
        <v>140</v>
      </c>
      <c r="I14" s="123" t="s">
        <v>128</v>
      </c>
      <c r="J14" s="118">
        <v>480</v>
      </c>
      <c r="K14" s="107">
        <v>600</v>
      </c>
      <c r="L14" s="13">
        <f t="shared" si="1"/>
        <v>528</v>
      </c>
      <c r="M14" s="123" t="s">
        <v>115</v>
      </c>
      <c r="N14" s="118" t="s">
        <v>0</v>
      </c>
      <c r="O14" s="118">
        <v>1</v>
      </c>
      <c r="P14" s="75"/>
      <c r="Q14" s="63"/>
      <c r="R14" s="63"/>
      <c r="S14" s="77"/>
      <c r="T14" s="63"/>
      <c r="U14" s="63"/>
      <c r="V14" s="119">
        <f>IF(OR(COUNTA(P14:R14)&gt;=2,COUNTA(S14:U14)&gt;=2),"ошибка",(IF((AND(COUNTA(P14:R14)=1,P14&gt;0)),P14*60*VLOOKUP(D14,'2Рабочее время'!$A:$L,4,FALSE)*((IF(VLOOKUP(D14,'2Рабочее время'!$A$1:$C$50,2,FALSE)&gt;0,VLOOKUP(D14,'2Рабочее время'!$A$1:$C$50,2,FALSE),VLOOKUP(D14,'2Рабочее время'!$A$1:$C$50,3,FALSE)))),IF((AND(COUNTA(P14:R14)=1,Q14&gt;0)),Q14*((IF(VLOOKUP(D14,'2Рабочее время'!$A$1:$C$50,2,FALSE)&gt;0,VLOOKUP(D14,'2Рабочее время'!$A$1:$C$50,2,FALSE),VLOOKUP(D14,'2Рабочее время'!$A$1:$C$50,3,FALSE)))),IF((AND(COUNTA(P14:R14)=1,R14&gt;0)),R14*O14*IF(N14=0,0,IF(N14="Количество в месяц",1,IF(N14="Количество в неделю",4.285,IF(N14="Количество в день",IF(VLOOKUP(D14,'2Рабочее время'!$A$1:$C$50,2,FALSE)&gt;0,VLOOKUP(D14,'2Рабочее время'!$A$1:$C$50,2,FALSE),VLOOKUP(D14,'2Рабочее время'!$A$1:$C$50,3,FALSE)))))),0)))+IF((AND(COUNTA(S14:U14)=1,S14&gt;0)),S14*60*VLOOKUP(D14,'2Рабочее время'!$A:$L,4,FALSE)*((IF(VLOOKUP(D14,'2Рабочее время'!$A$1:$C$50,2,FALSE)&gt;0,VLOOKUP(D14,'2Рабочее время'!$A$1:$C$50,2,FALSE),VLOOKUP(D14,'2Рабочее время'!$A$1:$C$50,3,FALSE)))),IF((AND(COUNTA(P14:R14)=1,Q14&gt;0)),Q14*((IF(VLOOKUP(D14,'2Рабочее время'!$A$1:$C$50,2,FALSE)&gt;0,VLOOKUP(D14,'2Рабочее время'!$A$1:$C$50,2,FALSE),VLOOKUP(D14,'2Рабочее время'!$A$1:$C$50,3,FALSE)))),IF((AND(COUNTA(S14:U14)=1,T14&gt;0)),T14*((IF(VLOOKUP(D14,'2Рабочее время'!$A$1:$C$50,2,FALSE)&gt;0,VLOOKUP(D14,'2Рабочее время'!$A$1:$C$50,2,FALSE),VLOOKUP(D14,'2Рабочее время'!$A$1:$C$50,3,FALSE)))),IF((AND(COUNTA(S14:U14)=1,U14&gt;0)),U14*O14*IF(N14=0,0,IF(N14="Количество в месяц",1,IF(N14="Количество в неделю",4.285,IF(N14="Количество в день",IF(VLOOKUP(D14,'2Рабочее время'!$A$1:$C$50,2,FALSE)&gt;0,VLOOKUP(D14,'2Рабочее время'!$A$1:$C$50,2,FALSE),VLOOKUP(D14,'2Рабочее время'!$A$1:$C$50,3,FALSE)))))),0))))))</f>
        <v>0</v>
      </c>
      <c r="W14" s="120">
        <v>1</v>
      </c>
      <c r="X14" s="13">
        <f>IF(N14=0,0,IF(N14="Количество в месяц",L14*O14*W14,IF(N14="Количество в неделю",L14*O14*W14*4.285,IF(N14="Количество в день",L14*O14*W14*IF(VLOOKUP(D14,'2Рабочее время'!$A$1:$C$50,2,FALSE)&gt;0,VLOOKUP(D14,'2Рабочее время'!$A$1:$C$50,2,FALSE),VLOOKUP(D14,'2Рабочее время'!$A$1:$C$50,3,FALSE))))))+V14</f>
        <v>528</v>
      </c>
      <c r="Y14" s="13">
        <f t="shared" si="3"/>
        <v>8.8000000000000007</v>
      </c>
    </row>
    <row r="15" spans="1:26" s="3" customFormat="1" ht="57" customHeight="1" x14ac:dyDescent="0.25">
      <c r="A15" s="23">
        <v>14</v>
      </c>
      <c r="B15" s="23"/>
      <c r="C15" s="23"/>
      <c r="D15" s="118" t="s">
        <v>111</v>
      </c>
      <c r="E15" s="125"/>
      <c r="F15" s="122">
        <v>1</v>
      </c>
      <c r="G15" s="123" t="s">
        <v>80</v>
      </c>
      <c r="H15" s="123" t="s">
        <v>127</v>
      </c>
      <c r="I15" s="123" t="s">
        <v>141</v>
      </c>
      <c r="J15" s="118">
        <v>360</v>
      </c>
      <c r="K15" s="107">
        <v>420</v>
      </c>
      <c r="L15" s="13">
        <f t="shared" si="1"/>
        <v>384</v>
      </c>
      <c r="M15" s="123" t="s">
        <v>116</v>
      </c>
      <c r="N15" s="118" t="s">
        <v>0</v>
      </c>
      <c r="O15" s="118">
        <v>3</v>
      </c>
      <c r="P15" s="75"/>
      <c r="Q15" s="63"/>
      <c r="R15" s="63"/>
      <c r="S15" s="77"/>
      <c r="T15" s="63"/>
      <c r="U15" s="63"/>
      <c r="V15" s="119">
        <f>IF(OR(COUNTA(P15:R15)&gt;=2,COUNTA(S15:U15)&gt;=2),"ошибка",(IF((AND(COUNTA(P15:R15)=1,P15&gt;0)),P15*60*VLOOKUP(D15,'2Рабочее время'!$A:$L,4,FALSE)*((IF(VLOOKUP(D15,'2Рабочее время'!$A$1:$C$50,2,FALSE)&gt;0,VLOOKUP(D15,'2Рабочее время'!$A$1:$C$50,2,FALSE),VLOOKUP(D15,'2Рабочее время'!$A$1:$C$50,3,FALSE)))),IF((AND(COUNTA(P15:R15)=1,Q15&gt;0)),Q15*((IF(VLOOKUP(D15,'2Рабочее время'!$A$1:$C$50,2,FALSE)&gt;0,VLOOKUP(D15,'2Рабочее время'!$A$1:$C$50,2,FALSE),VLOOKUP(D15,'2Рабочее время'!$A$1:$C$50,3,FALSE)))),IF((AND(COUNTA(P15:R15)=1,R15&gt;0)),R15*O15*IF(N15=0,0,IF(N15="Количество в месяц",1,IF(N15="Количество в неделю",4.285,IF(N15="Количество в день",IF(VLOOKUP(D15,'2Рабочее время'!$A$1:$C$50,2,FALSE)&gt;0,VLOOKUP(D15,'2Рабочее время'!$A$1:$C$50,2,FALSE),VLOOKUP(D15,'2Рабочее время'!$A$1:$C$50,3,FALSE)))))),0)))+IF((AND(COUNTA(S15:U15)=1,S15&gt;0)),S15*60*VLOOKUP(D15,'2Рабочее время'!$A:$L,4,FALSE)*((IF(VLOOKUP(D15,'2Рабочее время'!$A$1:$C$50,2,FALSE)&gt;0,VLOOKUP(D15,'2Рабочее время'!$A$1:$C$50,2,FALSE),VLOOKUP(D15,'2Рабочее время'!$A$1:$C$50,3,FALSE)))),IF((AND(COUNTA(P15:R15)=1,Q15&gt;0)),Q15*((IF(VLOOKUP(D15,'2Рабочее время'!$A$1:$C$50,2,FALSE)&gt;0,VLOOKUP(D15,'2Рабочее время'!$A$1:$C$50,2,FALSE),VLOOKUP(D15,'2Рабочее время'!$A$1:$C$50,3,FALSE)))),IF((AND(COUNTA(S15:U15)=1,T15&gt;0)),T15*((IF(VLOOKUP(D15,'2Рабочее время'!$A$1:$C$50,2,FALSE)&gt;0,VLOOKUP(D15,'2Рабочее время'!$A$1:$C$50,2,FALSE),VLOOKUP(D15,'2Рабочее время'!$A$1:$C$50,3,FALSE)))),IF((AND(COUNTA(S15:U15)=1,U15&gt;0)),U15*O15*IF(N15=0,0,IF(N15="Количество в месяц",1,IF(N15="Количество в неделю",4.285,IF(N15="Количество в день",IF(VLOOKUP(D15,'2Рабочее время'!$A$1:$C$50,2,FALSE)&gt;0,VLOOKUP(D15,'2Рабочее время'!$A$1:$C$50,2,FALSE),VLOOKUP(D15,'2Рабочее время'!$A$1:$C$50,3,FALSE)))))),0))))))</f>
        <v>0</v>
      </c>
      <c r="W15" s="120">
        <v>1</v>
      </c>
      <c r="X15" s="13">
        <f>IF(N15=0,0,IF(N15="Количество в месяц",L15*O15*W15,IF(N15="Количество в неделю",L15*O15*W15*4.285,IF(N15="Количество в день",L15*O15*W15*IF(VLOOKUP(D15,'2Рабочее время'!$A$1:$C$50,2,FALSE)&gt;0,VLOOKUP(D15,'2Рабочее время'!$A$1:$C$50,2,FALSE),VLOOKUP(D15,'2Рабочее время'!$A$1:$C$50,3,FALSE))))))+V15</f>
        <v>1152</v>
      </c>
      <c r="Y15" s="13">
        <f t="shared" si="3"/>
        <v>19.2</v>
      </c>
    </row>
    <row r="16" spans="1:26" s="3" customFormat="1" ht="57" customHeight="1" x14ac:dyDescent="0.25">
      <c r="A16" s="23">
        <v>15</v>
      </c>
      <c r="B16" s="23"/>
      <c r="C16" s="23"/>
      <c r="D16" s="118" t="s">
        <v>111</v>
      </c>
      <c r="E16" s="125"/>
      <c r="F16" s="122">
        <v>1</v>
      </c>
      <c r="G16" s="123" t="s">
        <v>80</v>
      </c>
      <c r="H16" s="123" t="s">
        <v>81</v>
      </c>
      <c r="I16" s="123" t="s">
        <v>153</v>
      </c>
      <c r="J16" s="118">
        <v>60</v>
      </c>
      <c r="K16" s="107">
        <v>120</v>
      </c>
      <c r="L16" s="13">
        <f t="shared" si="1"/>
        <v>84</v>
      </c>
      <c r="M16" s="123" t="s">
        <v>146</v>
      </c>
      <c r="N16" s="118" t="s">
        <v>0</v>
      </c>
      <c r="O16" s="118">
        <v>1</v>
      </c>
      <c r="P16" s="75"/>
      <c r="Q16" s="63"/>
      <c r="R16" s="63"/>
      <c r="S16" s="77"/>
      <c r="T16" s="63"/>
      <c r="U16" s="63"/>
      <c r="V16" s="119">
        <f>IF(OR(COUNTA(P16:R16)&gt;=2,COUNTA(S16:U16)&gt;=2),"ошибка",(IF((AND(COUNTA(P16:R16)=1,P16&gt;0)),P16*60*VLOOKUP(D16,'2Рабочее время'!$A:$L,4,FALSE)*((IF(VLOOKUP(D16,'2Рабочее время'!$A$1:$C$50,2,FALSE)&gt;0,VLOOKUP(D16,'2Рабочее время'!$A$1:$C$50,2,FALSE),VLOOKUP(D16,'2Рабочее время'!$A$1:$C$50,3,FALSE)))),IF((AND(COUNTA(P16:R16)=1,Q16&gt;0)),Q16*((IF(VLOOKUP(D16,'2Рабочее время'!$A$1:$C$50,2,FALSE)&gt;0,VLOOKUP(D16,'2Рабочее время'!$A$1:$C$50,2,FALSE),VLOOKUP(D16,'2Рабочее время'!$A$1:$C$50,3,FALSE)))),IF((AND(COUNTA(P16:R16)=1,R16&gt;0)),R16*O16*IF(N16=0,0,IF(N16="Количество в месяц",1,IF(N16="Количество в неделю",4.285,IF(N16="Количество в день",IF(VLOOKUP(D16,'2Рабочее время'!$A$1:$C$50,2,FALSE)&gt;0,VLOOKUP(D16,'2Рабочее время'!$A$1:$C$50,2,FALSE),VLOOKUP(D16,'2Рабочее время'!$A$1:$C$50,3,FALSE)))))),0)))+IF((AND(COUNTA(S16:U16)=1,S16&gt;0)),S16*60*VLOOKUP(D16,'2Рабочее время'!$A:$L,4,FALSE)*((IF(VLOOKUP(D16,'2Рабочее время'!$A$1:$C$50,2,FALSE)&gt;0,VLOOKUP(D16,'2Рабочее время'!$A$1:$C$50,2,FALSE),VLOOKUP(D16,'2Рабочее время'!$A$1:$C$50,3,FALSE)))),IF((AND(COUNTA(P16:R16)=1,Q16&gt;0)),Q16*((IF(VLOOKUP(D16,'2Рабочее время'!$A$1:$C$50,2,FALSE)&gt;0,VLOOKUP(D16,'2Рабочее время'!$A$1:$C$50,2,FALSE),VLOOKUP(D16,'2Рабочее время'!$A$1:$C$50,3,FALSE)))),IF((AND(COUNTA(S16:U16)=1,T16&gt;0)),T16*((IF(VLOOKUP(D16,'2Рабочее время'!$A$1:$C$50,2,FALSE)&gt;0,VLOOKUP(D16,'2Рабочее время'!$A$1:$C$50,2,FALSE),VLOOKUP(D16,'2Рабочее время'!$A$1:$C$50,3,FALSE)))),IF((AND(COUNTA(S16:U16)=1,U16&gt;0)),U16*O16*IF(N16=0,0,IF(N16="Количество в месяц",1,IF(N16="Количество в неделю",4.285,IF(N16="Количество в день",IF(VLOOKUP(D16,'2Рабочее время'!$A$1:$C$50,2,FALSE)&gt;0,VLOOKUP(D16,'2Рабочее время'!$A$1:$C$50,2,FALSE),VLOOKUP(D16,'2Рабочее время'!$A$1:$C$50,3,FALSE)))))),0))))))</f>
        <v>0</v>
      </c>
      <c r="W16" s="120">
        <v>1</v>
      </c>
      <c r="X16" s="13">
        <f>IF(N16=0,0,IF(N16="Количество в месяц",L16*O16*W16,IF(N16="Количество в неделю",L16*O16*W16*4.285,IF(N16="Количество в день",L16*O16*W16*IF(VLOOKUP(D16,'2Рабочее время'!$A$1:$C$50,2,FALSE)&gt;0,VLOOKUP(D16,'2Рабочее время'!$A$1:$C$50,2,FALSE),VLOOKUP(D16,'2Рабочее время'!$A$1:$C$50,3,FALSE))))))+V16</f>
        <v>84</v>
      </c>
      <c r="Y16" s="13">
        <f t="shared" si="3"/>
        <v>1.4</v>
      </c>
    </row>
    <row r="17" spans="1:25" s="3" customFormat="1" ht="57" customHeight="1" x14ac:dyDescent="0.25">
      <c r="A17" s="23">
        <v>16</v>
      </c>
      <c r="B17" s="23"/>
      <c r="C17" s="23"/>
      <c r="D17" s="118" t="s">
        <v>111</v>
      </c>
      <c r="E17" s="125"/>
      <c r="F17" s="122">
        <v>1</v>
      </c>
      <c r="G17" s="123" t="s">
        <v>80</v>
      </c>
      <c r="H17" s="123" t="s">
        <v>82</v>
      </c>
      <c r="I17" s="123" t="s">
        <v>126</v>
      </c>
      <c r="J17" s="118">
        <v>60</v>
      </c>
      <c r="K17" s="107">
        <v>90</v>
      </c>
      <c r="L17" s="13">
        <f t="shared" si="1"/>
        <v>72</v>
      </c>
      <c r="M17" s="123" t="s">
        <v>146</v>
      </c>
      <c r="N17" s="118" t="s">
        <v>0</v>
      </c>
      <c r="O17" s="118">
        <v>1</v>
      </c>
      <c r="P17" s="75"/>
      <c r="Q17" s="63"/>
      <c r="R17" s="63"/>
      <c r="S17" s="77"/>
      <c r="T17" s="63"/>
      <c r="U17" s="63"/>
      <c r="V17" s="119">
        <f>IF(OR(COUNTA(P17:R17)&gt;=2,COUNTA(S17:U17)&gt;=2),"ошибка",(IF((AND(COUNTA(P17:R17)=1,P17&gt;0)),P17*60*VLOOKUP(D17,'2Рабочее время'!$A:$L,4,FALSE)*((IF(VLOOKUP(D17,'2Рабочее время'!$A$1:$C$50,2,FALSE)&gt;0,VLOOKUP(D17,'2Рабочее время'!$A$1:$C$50,2,FALSE),VLOOKUP(D17,'2Рабочее время'!$A$1:$C$50,3,FALSE)))),IF((AND(COUNTA(P17:R17)=1,Q17&gt;0)),Q17*((IF(VLOOKUP(D17,'2Рабочее время'!$A$1:$C$50,2,FALSE)&gt;0,VLOOKUP(D17,'2Рабочее время'!$A$1:$C$50,2,FALSE),VLOOKUP(D17,'2Рабочее время'!$A$1:$C$50,3,FALSE)))),IF((AND(COUNTA(P17:R17)=1,R17&gt;0)),R17*O17*IF(N17=0,0,IF(N17="Количество в месяц",1,IF(N17="Количество в неделю",4.285,IF(N17="Количество в день",IF(VLOOKUP(D17,'2Рабочее время'!$A$1:$C$50,2,FALSE)&gt;0,VLOOKUP(D17,'2Рабочее время'!$A$1:$C$50,2,FALSE),VLOOKUP(D17,'2Рабочее время'!$A$1:$C$50,3,FALSE)))))),0)))+IF((AND(COUNTA(S17:U17)=1,S17&gt;0)),S17*60*VLOOKUP(D17,'2Рабочее время'!$A:$L,4,FALSE)*((IF(VLOOKUP(D17,'2Рабочее время'!$A$1:$C$50,2,FALSE)&gt;0,VLOOKUP(D17,'2Рабочее время'!$A$1:$C$50,2,FALSE),VLOOKUP(D17,'2Рабочее время'!$A$1:$C$50,3,FALSE)))),IF((AND(COUNTA(P17:R17)=1,Q17&gt;0)),Q17*((IF(VLOOKUP(D17,'2Рабочее время'!$A$1:$C$50,2,FALSE)&gt;0,VLOOKUP(D17,'2Рабочее время'!$A$1:$C$50,2,FALSE),VLOOKUP(D17,'2Рабочее время'!$A$1:$C$50,3,FALSE)))),IF((AND(COUNTA(S17:U17)=1,T17&gt;0)),T17*((IF(VLOOKUP(D17,'2Рабочее время'!$A$1:$C$50,2,FALSE)&gt;0,VLOOKUP(D17,'2Рабочее время'!$A$1:$C$50,2,FALSE),VLOOKUP(D17,'2Рабочее время'!$A$1:$C$50,3,FALSE)))),IF((AND(COUNTA(S17:U17)=1,U17&gt;0)),U17*O17*IF(N17=0,0,IF(N17="Количество в месяц",1,IF(N17="Количество в неделю",4.285,IF(N17="Количество в день",IF(VLOOKUP(D17,'2Рабочее время'!$A$1:$C$50,2,FALSE)&gt;0,VLOOKUP(D17,'2Рабочее время'!$A$1:$C$50,2,FALSE),VLOOKUP(D17,'2Рабочее время'!$A$1:$C$50,3,FALSE)))))),0))))))</f>
        <v>0</v>
      </c>
      <c r="W17" s="120">
        <v>1</v>
      </c>
      <c r="X17" s="13">
        <f>IF(N17=0,0,IF(N17="Количество в месяц",L17*O17*W17,IF(N17="Количество в неделю",L17*O17*W17*4.285,IF(N17="Количество в день",L17*O17*W17*IF(VLOOKUP(D17,'2Рабочее время'!$A$1:$C$50,2,FALSE)&gt;0,VLOOKUP(D17,'2Рабочее время'!$A$1:$C$50,2,FALSE),VLOOKUP(D17,'2Рабочее время'!$A$1:$C$50,3,FALSE))))))+V17</f>
        <v>72</v>
      </c>
      <c r="Y17" s="13">
        <f t="shared" si="3"/>
        <v>1.2</v>
      </c>
    </row>
    <row r="18" spans="1:25" s="3" customFormat="1" ht="57" customHeight="1" x14ac:dyDescent="0.25">
      <c r="A18" s="23">
        <v>17</v>
      </c>
      <c r="B18" s="23"/>
      <c r="C18" s="23"/>
      <c r="D18" s="118" t="s">
        <v>111</v>
      </c>
      <c r="E18" s="125"/>
      <c r="F18" s="122">
        <v>1</v>
      </c>
      <c r="G18" s="123" t="s">
        <v>80</v>
      </c>
      <c r="H18" s="123" t="s">
        <v>142</v>
      </c>
      <c r="I18" s="123" t="s">
        <v>126</v>
      </c>
      <c r="J18" s="118">
        <v>60</v>
      </c>
      <c r="K18" s="107">
        <v>90</v>
      </c>
      <c r="L18" s="13">
        <f t="shared" si="1"/>
        <v>72</v>
      </c>
      <c r="M18" s="123" t="s">
        <v>146</v>
      </c>
      <c r="N18" s="118" t="s">
        <v>0</v>
      </c>
      <c r="O18" s="118">
        <v>3</v>
      </c>
      <c r="P18" s="75"/>
      <c r="Q18" s="63"/>
      <c r="R18" s="63"/>
      <c r="S18" s="77"/>
      <c r="T18" s="63"/>
      <c r="U18" s="63"/>
      <c r="V18" s="119">
        <f>IF(OR(COUNTA(P18:R18)&gt;=2,COUNTA(S18:U18)&gt;=2),"ошибка",(IF((AND(COUNTA(P18:R18)=1,P18&gt;0)),P18*60*VLOOKUP(D18,'2Рабочее время'!$A:$L,4,FALSE)*((IF(VLOOKUP(D18,'2Рабочее время'!$A$1:$C$50,2,FALSE)&gt;0,VLOOKUP(D18,'2Рабочее время'!$A$1:$C$50,2,FALSE),VLOOKUP(D18,'2Рабочее время'!$A$1:$C$50,3,FALSE)))),IF((AND(COUNTA(P18:R18)=1,Q18&gt;0)),Q18*((IF(VLOOKUP(D18,'2Рабочее время'!$A$1:$C$50,2,FALSE)&gt;0,VLOOKUP(D18,'2Рабочее время'!$A$1:$C$50,2,FALSE),VLOOKUP(D18,'2Рабочее время'!$A$1:$C$50,3,FALSE)))),IF((AND(COUNTA(P18:R18)=1,R18&gt;0)),R18*O18*IF(N18=0,0,IF(N18="Количество в месяц",1,IF(N18="Количество в неделю",4.285,IF(N18="Количество в день",IF(VLOOKUP(D18,'2Рабочее время'!$A$1:$C$50,2,FALSE)&gt;0,VLOOKUP(D18,'2Рабочее время'!$A$1:$C$50,2,FALSE),VLOOKUP(D18,'2Рабочее время'!$A$1:$C$50,3,FALSE)))))),0)))+IF((AND(COUNTA(S18:U18)=1,S18&gt;0)),S18*60*VLOOKUP(D18,'2Рабочее время'!$A:$L,4,FALSE)*((IF(VLOOKUP(D18,'2Рабочее время'!$A$1:$C$50,2,FALSE)&gt;0,VLOOKUP(D18,'2Рабочее время'!$A$1:$C$50,2,FALSE),VLOOKUP(D18,'2Рабочее время'!$A$1:$C$50,3,FALSE)))),IF((AND(COUNTA(P18:R18)=1,Q18&gt;0)),Q18*((IF(VLOOKUP(D18,'2Рабочее время'!$A$1:$C$50,2,FALSE)&gt;0,VLOOKUP(D18,'2Рабочее время'!$A$1:$C$50,2,FALSE),VLOOKUP(D18,'2Рабочее время'!$A$1:$C$50,3,FALSE)))),IF((AND(COUNTA(S18:U18)=1,T18&gt;0)),T18*((IF(VLOOKUP(D18,'2Рабочее время'!$A$1:$C$50,2,FALSE)&gt;0,VLOOKUP(D18,'2Рабочее время'!$A$1:$C$50,2,FALSE),VLOOKUP(D18,'2Рабочее время'!$A$1:$C$50,3,FALSE)))),IF((AND(COUNTA(S18:U18)=1,U18&gt;0)),U18*O18*IF(N18=0,0,IF(N18="Количество в месяц",1,IF(N18="Количество в неделю",4.285,IF(N18="Количество в день",IF(VLOOKUP(D18,'2Рабочее время'!$A$1:$C$50,2,FALSE)&gt;0,VLOOKUP(D18,'2Рабочее время'!$A$1:$C$50,2,FALSE),VLOOKUP(D18,'2Рабочее время'!$A$1:$C$50,3,FALSE)))))),0))))))</f>
        <v>0</v>
      </c>
      <c r="W18" s="120">
        <v>1</v>
      </c>
      <c r="X18" s="13">
        <f>IF(N18=0,0,IF(N18="Количество в месяц",L18*O18*W18,IF(N18="Количество в неделю",L18*O18*W18*4.285,IF(N18="Количество в день",L18*O18*W18*IF(VLOOKUP(D18,'2Рабочее время'!$A$1:$C$50,2,FALSE)&gt;0,VLOOKUP(D18,'2Рабочее время'!$A$1:$C$50,2,FALSE),VLOOKUP(D18,'2Рабочее время'!$A$1:$C$50,3,FALSE))))))+V18</f>
        <v>216</v>
      </c>
      <c r="Y18" s="13">
        <f t="shared" si="3"/>
        <v>3.6</v>
      </c>
    </row>
    <row r="19" spans="1:25" s="3" customFormat="1" ht="57" customHeight="1" x14ac:dyDescent="0.25">
      <c r="A19" s="23">
        <v>18</v>
      </c>
      <c r="B19" s="23"/>
      <c r="C19" s="23"/>
      <c r="D19" s="118" t="s">
        <v>110</v>
      </c>
      <c r="E19" s="125"/>
      <c r="F19" s="122">
        <v>1</v>
      </c>
      <c r="G19" s="123" t="s">
        <v>83</v>
      </c>
      <c r="H19" s="123" t="s">
        <v>84</v>
      </c>
      <c r="I19" s="123" t="s">
        <v>124</v>
      </c>
      <c r="J19" s="118">
        <v>60</v>
      </c>
      <c r="K19" s="107">
        <v>120</v>
      </c>
      <c r="L19" s="13">
        <f t="shared" si="1"/>
        <v>84</v>
      </c>
      <c r="M19" s="123" t="s">
        <v>146</v>
      </c>
      <c r="N19" s="118" t="s">
        <v>0</v>
      </c>
      <c r="O19" s="118">
        <v>1</v>
      </c>
      <c r="P19" s="75"/>
      <c r="Q19" s="63"/>
      <c r="R19" s="63"/>
      <c r="S19" s="77"/>
      <c r="T19" s="63"/>
      <c r="U19" s="63"/>
      <c r="V19" s="119">
        <f>IF(OR(COUNTA(P19:R19)&gt;=2,COUNTA(S19:U19)&gt;=2),"ошибка",(IF((AND(COUNTA(P19:R19)=1,P19&gt;0)),P19*60*VLOOKUP(D19,'2Рабочее время'!$A:$L,4,FALSE)*((IF(VLOOKUP(D19,'2Рабочее время'!$A$1:$C$50,2,FALSE)&gt;0,VLOOKUP(D19,'2Рабочее время'!$A$1:$C$50,2,FALSE),VLOOKUP(D19,'2Рабочее время'!$A$1:$C$50,3,FALSE)))),IF((AND(COUNTA(P19:R19)=1,Q19&gt;0)),Q19*((IF(VLOOKUP(D19,'2Рабочее время'!$A$1:$C$50,2,FALSE)&gt;0,VLOOKUP(D19,'2Рабочее время'!$A$1:$C$50,2,FALSE),VLOOKUP(D19,'2Рабочее время'!$A$1:$C$50,3,FALSE)))),IF((AND(COUNTA(P19:R19)=1,R19&gt;0)),R19*O19*IF(N19=0,0,IF(N19="Количество в месяц",1,IF(N19="Количество в неделю",4.285,IF(N19="Количество в день",IF(VLOOKUP(D19,'2Рабочее время'!$A$1:$C$50,2,FALSE)&gt;0,VLOOKUP(D19,'2Рабочее время'!$A$1:$C$50,2,FALSE),VLOOKUP(D19,'2Рабочее время'!$A$1:$C$50,3,FALSE)))))),0)))+IF((AND(COUNTA(S19:U19)=1,S19&gt;0)),S19*60*VLOOKUP(D19,'2Рабочее время'!$A:$L,4,FALSE)*((IF(VLOOKUP(D19,'2Рабочее время'!$A$1:$C$50,2,FALSE)&gt;0,VLOOKUP(D19,'2Рабочее время'!$A$1:$C$50,2,FALSE),VLOOKUP(D19,'2Рабочее время'!$A$1:$C$50,3,FALSE)))),IF((AND(COUNTA(P19:R19)=1,Q19&gt;0)),Q19*((IF(VLOOKUP(D19,'2Рабочее время'!$A$1:$C$50,2,FALSE)&gt;0,VLOOKUP(D19,'2Рабочее время'!$A$1:$C$50,2,FALSE),VLOOKUP(D19,'2Рабочее время'!$A$1:$C$50,3,FALSE)))),IF((AND(COUNTA(S19:U19)=1,T19&gt;0)),T19*((IF(VLOOKUP(D19,'2Рабочее время'!$A$1:$C$50,2,FALSE)&gt;0,VLOOKUP(D19,'2Рабочее время'!$A$1:$C$50,2,FALSE),VLOOKUP(D19,'2Рабочее время'!$A$1:$C$50,3,FALSE)))),IF((AND(COUNTA(S19:U19)=1,U19&gt;0)),U19*O19*IF(N19=0,0,IF(N19="Количество в месяц",1,IF(N19="Количество в неделю",4.285,IF(N19="Количество в день",IF(VLOOKUP(D19,'2Рабочее время'!$A$1:$C$50,2,FALSE)&gt;0,VLOOKUP(D19,'2Рабочее время'!$A$1:$C$50,2,FALSE),VLOOKUP(D19,'2Рабочее время'!$A$1:$C$50,3,FALSE)))))),0))))))</f>
        <v>0</v>
      </c>
      <c r="W19" s="120">
        <v>1</v>
      </c>
      <c r="X19" s="13">
        <f>IF(N19=0,0,IF(N19="Количество в месяц",L19*O19*W19,IF(N19="Количество в неделю",L19*O19*W19*4.285,IF(N19="Количество в день",L19*O19*W19*IF(VLOOKUP(D19,'2Рабочее время'!$A$1:$C$50,2,FALSE)&gt;0,VLOOKUP(D19,'2Рабочее время'!$A$1:$C$50,2,FALSE),VLOOKUP(D19,'2Рабочее время'!$A$1:$C$50,3,FALSE))))))+V19</f>
        <v>84</v>
      </c>
      <c r="Y19" s="13">
        <f t="shared" si="3"/>
        <v>1.4</v>
      </c>
    </row>
    <row r="20" spans="1:25" s="3" customFormat="1" ht="57" customHeight="1" x14ac:dyDescent="0.25">
      <c r="A20" s="23">
        <v>19</v>
      </c>
      <c r="B20" s="23"/>
      <c r="C20" s="23"/>
      <c r="D20" s="118" t="s">
        <v>108</v>
      </c>
      <c r="E20" s="125"/>
      <c r="F20" s="122">
        <v>1</v>
      </c>
      <c r="G20" s="123" t="s">
        <v>83</v>
      </c>
      <c r="H20" s="123" t="s">
        <v>85</v>
      </c>
      <c r="I20" s="123" t="s">
        <v>153</v>
      </c>
      <c r="J20" s="118">
        <v>60</v>
      </c>
      <c r="K20" s="107">
        <v>120</v>
      </c>
      <c r="L20" s="13">
        <f t="shared" si="1"/>
        <v>84</v>
      </c>
      <c r="M20" s="123" t="s">
        <v>146</v>
      </c>
      <c r="N20" s="118" t="s">
        <v>0</v>
      </c>
      <c r="O20" s="118">
        <v>1</v>
      </c>
      <c r="P20" s="75"/>
      <c r="Q20" s="63"/>
      <c r="R20" s="63"/>
      <c r="S20" s="77"/>
      <c r="T20" s="63"/>
      <c r="U20" s="63"/>
      <c r="V20" s="119">
        <f>IF(OR(COUNTA(P20:R20)&gt;=2,COUNTA(S20:U20)&gt;=2),"ошибка",(IF((AND(COUNTA(P20:R20)=1,P20&gt;0)),P20*60*VLOOKUP(D20,'2Рабочее время'!$A:$L,4,FALSE)*((IF(VLOOKUP(D20,'2Рабочее время'!$A$1:$C$50,2,FALSE)&gt;0,VLOOKUP(D20,'2Рабочее время'!$A$1:$C$50,2,FALSE),VLOOKUP(D20,'2Рабочее время'!$A$1:$C$50,3,FALSE)))),IF((AND(COUNTA(P20:R20)=1,Q20&gt;0)),Q20*((IF(VLOOKUP(D20,'2Рабочее время'!$A$1:$C$50,2,FALSE)&gt;0,VLOOKUP(D20,'2Рабочее время'!$A$1:$C$50,2,FALSE),VLOOKUP(D20,'2Рабочее время'!$A$1:$C$50,3,FALSE)))),IF((AND(COUNTA(P20:R20)=1,R20&gt;0)),R20*O20*IF(N20=0,0,IF(N20="Количество в месяц",1,IF(N20="Количество в неделю",4.285,IF(N20="Количество в день",IF(VLOOKUP(D20,'2Рабочее время'!$A$1:$C$50,2,FALSE)&gt;0,VLOOKUP(D20,'2Рабочее время'!$A$1:$C$50,2,FALSE),VLOOKUP(D20,'2Рабочее время'!$A$1:$C$50,3,FALSE)))))),0)))+IF((AND(COUNTA(S20:U20)=1,S20&gt;0)),S20*60*VLOOKUP(D20,'2Рабочее время'!$A:$L,4,FALSE)*((IF(VLOOKUP(D20,'2Рабочее время'!$A$1:$C$50,2,FALSE)&gt;0,VLOOKUP(D20,'2Рабочее время'!$A$1:$C$50,2,FALSE),VLOOKUP(D20,'2Рабочее время'!$A$1:$C$50,3,FALSE)))),IF((AND(COUNTA(P20:R20)=1,Q20&gt;0)),Q20*((IF(VLOOKUP(D20,'2Рабочее время'!$A$1:$C$50,2,FALSE)&gt;0,VLOOKUP(D20,'2Рабочее время'!$A$1:$C$50,2,FALSE),VLOOKUP(D20,'2Рабочее время'!$A$1:$C$50,3,FALSE)))),IF((AND(COUNTA(S20:U20)=1,T20&gt;0)),T20*((IF(VLOOKUP(D20,'2Рабочее время'!$A$1:$C$50,2,FALSE)&gt;0,VLOOKUP(D20,'2Рабочее время'!$A$1:$C$50,2,FALSE),VLOOKUP(D20,'2Рабочее время'!$A$1:$C$50,3,FALSE)))),IF((AND(COUNTA(S20:U20)=1,U20&gt;0)),U20*O20*IF(N20=0,0,IF(N20="Количество в месяц",1,IF(N20="Количество в неделю",4.285,IF(N20="Количество в день",IF(VLOOKUP(D20,'2Рабочее время'!$A$1:$C$50,2,FALSE)&gt;0,VLOOKUP(D20,'2Рабочее время'!$A$1:$C$50,2,FALSE),VLOOKUP(D20,'2Рабочее время'!$A$1:$C$50,3,FALSE)))))),0))))))</f>
        <v>0</v>
      </c>
      <c r="W20" s="120">
        <v>1</v>
      </c>
      <c r="X20" s="13">
        <f>IF(N20=0,0,IF(N20="Количество в месяц",L20*O20*W20,IF(N20="Количество в неделю",L20*O20*W20*4.285,IF(N20="Количество в день",L20*O20*W20*IF(VLOOKUP(D20,'2Рабочее время'!$A$1:$C$50,2,FALSE)&gt;0,VLOOKUP(D20,'2Рабочее время'!$A$1:$C$50,2,FALSE),VLOOKUP(D20,'2Рабочее время'!$A$1:$C$50,3,FALSE))))))+V20</f>
        <v>84</v>
      </c>
      <c r="Y20" s="13">
        <f t="shared" si="3"/>
        <v>1.4</v>
      </c>
    </row>
    <row r="21" spans="1:25" s="3" customFormat="1" ht="54" customHeight="1" x14ac:dyDescent="0.25">
      <c r="A21" s="23">
        <v>20</v>
      </c>
      <c r="B21" s="23"/>
      <c r="C21" s="23"/>
      <c r="D21" s="118" t="s">
        <v>108</v>
      </c>
      <c r="E21" s="125"/>
      <c r="F21" s="122">
        <v>1</v>
      </c>
      <c r="G21" s="123" t="s">
        <v>83</v>
      </c>
      <c r="H21" s="123" t="s">
        <v>86</v>
      </c>
      <c r="I21" s="123" t="s">
        <v>124</v>
      </c>
      <c r="J21" s="118">
        <v>180</v>
      </c>
      <c r="K21" s="107">
        <v>200</v>
      </c>
      <c r="L21" s="13">
        <f t="shared" si="1"/>
        <v>188</v>
      </c>
      <c r="M21" s="123" t="s">
        <v>146</v>
      </c>
      <c r="N21" s="118" t="s">
        <v>0</v>
      </c>
      <c r="O21" s="118">
        <v>1</v>
      </c>
      <c r="P21" s="75"/>
      <c r="Q21" s="63"/>
      <c r="R21" s="63"/>
      <c r="S21" s="77"/>
      <c r="T21" s="63"/>
      <c r="U21" s="63"/>
      <c r="V21" s="119">
        <f>IF(OR(COUNTA(P21:R21)&gt;=2,COUNTA(S21:U21)&gt;=2),"ошибка",(IF((AND(COUNTA(P21:R21)=1,P21&gt;0)),P21*60*VLOOKUP(D21,'2Рабочее время'!$A:$L,4,FALSE)*((IF(VLOOKUP(D21,'2Рабочее время'!$A$1:$C$50,2,FALSE)&gt;0,VLOOKUP(D21,'2Рабочее время'!$A$1:$C$50,2,FALSE),VLOOKUP(D21,'2Рабочее время'!$A$1:$C$50,3,FALSE)))),IF((AND(COUNTA(P21:R21)=1,Q21&gt;0)),Q21*((IF(VLOOKUP(D21,'2Рабочее время'!$A$1:$C$50,2,FALSE)&gt;0,VLOOKUP(D21,'2Рабочее время'!$A$1:$C$50,2,FALSE),VLOOKUP(D21,'2Рабочее время'!$A$1:$C$50,3,FALSE)))),IF((AND(COUNTA(P21:R21)=1,R21&gt;0)),R21*O21*IF(N21=0,0,IF(N21="Количество в месяц",1,IF(N21="Количество в неделю",4.285,IF(N21="Количество в день",IF(VLOOKUP(D21,'2Рабочее время'!$A$1:$C$50,2,FALSE)&gt;0,VLOOKUP(D21,'2Рабочее время'!$A$1:$C$50,2,FALSE),VLOOKUP(D21,'2Рабочее время'!$A$1:$C$50,3,FALSE)))))),0)))+IF((AND(COUNTA(S21:U21)=1,S21&gt;0)),S21*60*VLOOKUP(D21,'2Рабочее время'!$A:$L,4,FALSE)*((IF(VLOOKUP(D21,'2Рабочее время'!$A$1:$C$50,2,FALSE)&gt;0,VLOOKUP(D21,'2Рабочее время'!$A$1:$C$50,2,FALSE),VLOOKUP(D21,'2Рабочее время'!$A$1:$C$50,3,FALSE)))),IF((AND(COUNTA(P21:R21)=1,Q21&gt;0)),Q21*((IF(VLOOKUP(D21,'2Рабочее время'!$A$1:$C$50,2,FALSE)&gt;0,VLOOKUP(D21,'2Рабочее время'!$A$1:$C$50,2,FALSE),VLOOKUP(D21,'2Рабочее время'!$A$1:$C$50,3,FALSE)))),IF((AND(COUNTA(S21:U21)=1,T21&gt;0)),T21*((IF(VLOOKUP(D21,'2Рабочее время'!$A$1:$C$50,2,FALSE)&gt;0,VLOOKUP(D21,'2Рабочее время'!$A$1:$C$50,2,FALSE),VLOOKUP(D21,'2Рабочее время'!$A$1:$C$50,3,FALSE)))),IF((AND(COUNTA(S21:U21)=1,U21&gt;0)),U21*O21*IF(N21=0,0,IF(N21="Количество в месяц",1,IF(N21="Количество в неделю",4.285,IF(N21="Количество в день",IF(VLOOKUP(D21,'2Рабочее время'!$A$1:$C$50,2,FALSE)&gt;0,VLOOKUP(D21,'2Рабочее время'!$A$1:$C$50,2,FALSE),VLOOKUP(D21,'2Рабочее время'!$A$1:$C$50,3,FALSE)))))),0))))))</f>
        <v>0</v>
      </c>
      <c r="W21" s="120">
        <v>1</v>
      </c>
      <c r="X21" s="13">
        <f>IF(N21=0,0,IF(N21="Количество в месяц",L21*O21*W21,IF(N21="Количество в неделю",L21*O21*W21*4.285,IF(N21="Количество в день",L21*O21*W21*IF(VLOOKUP(D21,'2Рабочее время'!$A$1:$C$50,2,FALSE)&gt;0,VLOOKUP(D21,'2Рабочее время'!$A$1:$C$50,2,FALSE),VLOOKUP(D21,'2Рабочее время'!$A$1:$C$50,3,FALSE))))))+V21</f>
        <v>188</v>
      </c>
      <c r="Y21" s="13">
        <f t="shared" si="3"/>
        <v>3.1333333333333333</v>
      </c>
    </row>
    <row r="22" spans="1:25" ht="78" customHeight="1" x14ac:dyDescent="0.25">
      <c r="A22" s="23">
        <v>21</v>
      </c>
      <c r="B22" s="23"/>
      <c r="C22" s="23"/>
      <c r="D22" s="118" t="s">
        <v>112</v>
      </c>
      <c r="E22" s="125"/>
      <c r="F22" s="122">
        <v>1</v>
      </c>
      <c r="G22" s="123" t="s">
        <v>87</v>
      </c>
      <c r="H22" s="123" t="s">
        <v>88</v>
      </c>
      <c r="I22" s="123" t="s">
        <v>143</v>
      </c>
      <c r="J22" s="118">
        <v>960</v>
      </c>
      <c r="K22" s="107">
        <v>960</v>
      </c>
      <c r="L22" s="13">
        <f t="shared" si="1"/>
        <v>960</v>
      </c>
      <c r="M22" s="123" t="s">
        <v>154</v>
      </c>
      <c r="N22" s="118" t="s">
        <v>0</v>
      </c>
      <c r="O22" s="118">
        <v>13</v>
      </c>
      <c r="P22" s="75"/>
      <c r="Q22" s="63"/>
      <c r="R22" s="63"/>
      <c r="S22" s="77"/>
      <c r="T22" s="63"/>
      <c r="U22" s="63"/>
      <c r="V22" s="119">
        <f>IF(OR(COUNTA(P22:R22)&gt;=2,COUNTA(S22:U22)&gt;=2),"ошибка",(IF((AND(COUNTA(P22:R22)=1,P22&gt;0)),P22*60*VLOOKUP(D22,'2Рабочее время'!$A:$L,4,FALSE)*((IF(VLOOKUP(D22,'2Рабочее время'!$A$1:$C$50,2,FALSE)&gt;0,VLOOKUP(D22,'2Рабочее время'!$A$1:$C$50,2,FALSE),VLOOKUP(D22,'2Рабочее время'!$A$1:$C$50,3,FALSE)))),IF((AND(COUNTA(P22:R22)=1,Q22&gt;0)),Q22*((IF(VLOOKUP(D22,'2Рабочее время'!$A$1:$C$50,2,FALSE)&gt;0,VLOOKUP(D22,'2Рабочее время'!$A$1:$C$50,2,FALSE),VLOOKUP(D22,'2Рабочее время'!$A$1:$C$50,3,FALSE)))),IF((AND(COUNTA(P22:R22)=1,R22&gt;0)),R22*O22*IF(N22=0,0,IF(N22="Количество в месяц",1,IF(N22="Количество в неделю",4.285,IF(N22="Количество в день",IF(VLOOKUP(D22,'2Рабочее время'!$A$1:$C$50,2,FALSE)&gt;0,VLOOKUP(D22,'2Рабочее время'!$A$1:$C$50,2,FALSE),VLOOKUP(D22,'2Рабочее время'!$A$1:$C$50,3,FALSE)))))),0)))+IF((AND(COUNTA(S22:U22)=1,S22&gt;0)),S22*60*VLOOKUP(D22,'2Рабочее время'!$A:$L,4,FALSE)*((IF(VLOOKUP(D22,'2Рабочее время'!$A$1:$C$50,2,FALSE)&gt;0,VLOOKUP(D22,'2Рабочее время'!$A$1:$C$50,2,FALSE),VLOOKUP(D22,'2Рабочее время'!$A$1:$C$50,3,FALSE)))),IF((AND(COUNTA(P22:R22)=1,Q22&gt;0)),Q22*((IF(VLOOKUP(D22,'2Рабочее время'!$A$1:$C$50,2,FALSE)&gt;0,VLOOKUP(D22,'2Рабочее время'!$A$1:$C$50,2,FALSE),VLOOKUP(D22,'2Рабочее время'!$A$1:$C$50,3,FALSE)))),IF((AND(COUNTA(S22:U22)=1,T22&gt;0)),T22*((IF(VLOOKUP(D22,'2Рабочее время'!$A$1:$C$50,2,FALSE)&gt;0,VLOOKUP(D22,'2Рабочее время'!$A$1:$C$50,2,FALSE),VLOOKUP(D22,'2Рабочее время'!$A$1:$C$50,3,FALSE)))),IF((AND(COUNTA(S22:U22)=1,U22&gt;0)),U22*O22*IF(N22=0,0,IF(N22="Количество в месяц",1,IF(N22="Количество в неделю",4.285,IF(N22="Количество в день",IF(VLOOKUP(D22,'2Рабочее время'!$A$1:$C$50,2,FALSE)&gt;0,VLOOKUP(D22,'2Рабочее время'!$A$1:$C$50,2,FALSE),VLOOKUP(D22,'2Рабочее время'!$A$1:$C$50,3,FALSE)))))),0))))))</f>
        <v>0</v>
      </c>
      <c r="W22" s="120">
        <v>1</v>
      </c>
      <c r="X22" s="13">
        <f>IF(N22=0,0,IF(N22="Количество в месяц",L22*O22*W22,IF(N22="Количество в неделю",L22*O22*W22*4.285,IF(N22="Количество в день",L22*O22*W22*IF(VLOOKUP(D22,'2Рабочее время'!$A$1:$C$50,2,FALSE)&gt;0,VLOOKUP(D22,'2Рабочее время'!$A$1:$C$50,2,FALSE),VLOOKUP(D22,'2Рабочее время'!$A$1:$C$50,3,FALSE))))))+V22</f>
        <v>12480</v>
      </c>
      <c r="Y22" s="13">
        <f t="shared" si="3"/>
        <v>208</v>
      </c>
    </row>
    <row r="23" spans="1:25" ht="85.5" customHeight="1" x14ac:dyDescent="0.25">
      <c r="A23" s="23">
        <v>22</v>
      </c>
      <c r="B23" s="23"/>
      <c r="C23" s="23"/>
      <c r="D23" s="118" t="s">
        <v>112</v>
      </c>
      <c r="E23" s="125"/>
      <c r="F23" s="122">
        <v>1</v>
      </c>
      <c r="G23" s="123" t="s">
        <v>87</v>
      </c>
      <c r="H23" s="123" t="s">
        <v>159</v>
      </c>
      <c r="I23" s="123" t="s">
        <v>125</v>
      </c>
      <c r="J23" s="118">
        <v>1800</v>
      </c>
      <c r="K23" s="107">
        <v>1800</v>
      </c>
      <c r="L23" s="13">
        <f t="shared" si="1"/>
        <v>1800</v>
      </c>
      <c r="M23" s="123" t="s">
        <v>154</v>
      </c>
      <c r="N23" s="118" t="s">
        <v>0</v>
      </c>
      <c r="O23" s="118">
        <v>2</v>
      </c>
      <c r="P23" s="75"/>
      <c r="Q23" s="63"/>
      <c r="R23" s="63"/>
      <c r="S23" s="77"/>
      <c r="T23" s="63"/>
      <c r="U23" s="63"/>
      <c r="V23" s="119">
        <f>IF(OR(COUNTA(P23:R23)&gt;=2,COUNTA(S23:U23)&gt;=2),"ошибка",(IF((AND(COUNTA(P23:R23)=1,P23&gt;0)),P23*60*VLOOKUP(D23,'2Рабочее время'!$A:$L,4,FALSE)*((IF(VLOOKUP(D23,'2Рабочее время'!$A$1:$C$50,2,FALSE)&gt;0,VLOOKUP(D23,'2Рабочее время'!$A$1:$C$50,2,FALSE),VLOOKUP(D23,'2Рабочее время'!$A$1:$C$50,3,FALSE)))),IF((AND(COUNTA(P23:R23)=1,Q23&gt;0)),Q23*((IF(VLOOKUP(D23,'2Рабочее время'!$A$1:$C$50,2,FALSE)&gt;0,VLOOKUP(D23,'2Рабочее время'!$A$1:$C$50,2,FALSE),VLOOKUP(D23,'2Рабочее время'!$A$1:$C$50,3,FALSE)))),IF((AND(COUNTA(P23:R23)=1,R23&gt;0)),R23*O23*IF(N23=0,0,IF(N23="Количество в месяц",1,IF(N23="Количество в неделю",4.285,IF(N23="Количество в день",IF(VLOOKUP(D23,'2Рабочее время'!$A$1:$C$50,2,FALSE)&gt;0,VLOOKUP(D23,'2Рабочее время'!$A$1:$C$50,2,FALSE),VLOOKUP(D23,'2Рабочее время'!$A$1:$C$50,3,FALSE)))))),0)))+IF((AND(COUNTA(S23:U23)=1,S23&gt;0)),S23*60*VLOOKUP(D23,'2Рабочее время'!$A:$L,4,FALSE)*((IF(VLOOKUP(D23,'2Рабочее время'!$A$1:$C$50,2,FALSE)&gt;0,VLOOKUP(D23,'2Рабочее время'!$A$1:$C$50,2,FALSE),VLOOKUP(D23,'2Рабочее время'!$A$1:$C$50,3,FALSE)))),IF((AND(COUNTA(P23:R23)=1,Q23&gt;0)),Q23*((IF(VLOOKUP(D23,'2Рабочее время'!$A$1:$C$50,2,FALSE)&gt;0,VLOOKUP(D23,'2Рабочее время'!$A$1:$C$50,2,FALSE),VLOOKUP(D23,'2Рабочее время'!$A$1:$C$50,3,FALSE)))),IF((AND(COUNTA(S23:U23)=1,T23&gt;0)),T23*((IF(VLOOKUP(D23,'2Рабочее время'!$A$1:$C$50,2,FALSE)&gt;0,VLOOKUP(D23,'2Рабочее время'!$A$1:$C$50,2,FALSE),VLOOKUP(D23,'2Рабочее время'!$A$1:$C$50,3,FALSE)))),IF((AND(COUNTA(S23:U23)=1,U23&gt;0)),U23*O23*IF(N23=0,0,IF(N23="Количество в месяц",1,IF(N23="Количество в неделю",4.285,IF(N23="Количество в день",IF(VLOOKUP(D23,'2Рабочее время'!$A$1:$C$50,2,FALSE)&gt;0,VLOOKUP(D23,'2Рабочее время'!$A$1:$C$50,2,FALSE),VLOOKUP(D23,'2Рабочее время'!$A$1:$C$50,3,FALSE)))))),0))))))</f>
        <v>0</v>
      </c>
      <c r="W23" s="120">
        <v>1</v>
      </c>
      <c r="X23" s="13">
        <f>IF(N23=0,0,IF(N23="Количество в месяц",L23*O23*W23,IF(N23="Количество в неделю",L23*O23*W23*4.285,IF(N23="Количество в день",L23*O23*W23*IF(VLOOKUP(D23,'2Рабочее время'!$A$1:$C$50,2,FALSE)&gt;0,VLOOKUP(D23,'2Рабочее время'!$A$1:$C$50,2,FALSE),VLOOKUP(D23,'2Рабочее время'!$A$1:$C$50,3,FALSE))))))+V23</f>
        <v>3600</v>
      </c>
      <c r="Y23" s="13">
        <f t="shared" si="3"/>
        <v>60</v>
      </c>
    </row>
    <row r="24" spans="1:25" ht="72" customHeight="1" x14ac:dyDescent="0.25">
      <c r="A24" s="23">
        <v>23</v>
      </c>
      <c r="B24" s="23"/>
      <c r="C24" s="23"/>
      <c r="D24" s="118" t="s">
        <v>108</v>
      </c>
      <c r="E24" s="125"/>
      <c r="F24" s="122">
        <v>1</v>
      </c>
      <c r="G24" s="123" t="s">
        <v>89</v>
      </c>
      <c r="H24" s="123" t="s">
        <v>90</v>
      </c>
      <c r="I24" s="123" t="s">
        <v>153</v>
      </c>
      <c r="J24" s="118">
        <v>90</v>
      </c>
      <c r="K24" s="107">
        <v>120</v>
      </c>
      <c r="L24" s="13">
        <f t="shared" si="1"/>
        <v>102</v>
      </c>
      <c r="M24" s="123" t="s">
        <v>146</v>
      </c>
      <c r="N24" s="118" t="s">
        <v>0</v>
      </c>
      <c r="O24" s="118">
        <v>1</v>
      </c>
      <c r="P24" s="75"/>
      <c r="Q24" s="63"/>
      <c r="R24" s="63"/>
      <c r="S24" s="77"/>
      <c r="T24" s="63"/>
      <c r="U24" s="63"/>
      <c r="V24" s="119">
        <f>IF(OR(COUNTA(P24:R24)&gt;=2,COUNTA(S24:U24)&gt;=2),"ошибка",(IF((AND(COUNTA(P24:R24)=1,P24&gt;0)),P24*60*VLOOKUP(D24,'2Рабочее время'!$A:$L,4,FALSE)*((IF(VLOOKUP(D24,'2Рабочее время'!$A$1:$C$50,2,FALSE)&gt;0,VLOOKUP(D24,'2Рабочее время'!$A$1:$C$50,2,FALSE),VLOOKUP(D24,'2Рабочее время'!$A$1:$C$50,3,FALSE)))),IF((AND(COUNTA(P24:R24)=1,Q24&gt;0)),Q24*((IF(VLOOKUP(D24,'2Рабочее время'!$A$1:$C$50,2,FALSE)&gt;0,VLOOKUP(D24,'2Рабочее время'!$A$1:$C$50,2,FALSE),VLOOKUP(D24,'2Рабочее время'!$A$1:$C$50,3,FALSE)))),IF((AND(COUNTA(P24:R24)=1,R24&gt;0)),R24*O24*IF(N24=0,0,IF(N24="Количество в месяц",1,IF(N24="Количество в неделю",4.285,IF(N24="Количество в день",IF(VLOOKUP(D24,'2Рабочее время'!$A$1:$C$50,2,FALSE)&gt;0,VLOOKUP(D24,'2Рабочее время'!$A$1:$C$50,2,FALSE),VLOOKUP(D24,'2Рабочее время'!$A$1:$C$50,3,FALSE)))))),0)))+IF((AND(COUNTA(S24:U24)=1,S24&gt;0)),S24*60*VLOOKUP(D24,'2Рабочее время'!$A:$L,4,FALSE)*((IF(VLOOKUP(D24,'2Рабочее время'!$A$1:$C$50,2,FALSE)&gt;0,VLOOKUP(D24,'2Рабочее время'!$A$1:$C$50,2,FALSE),VLOOKUP(D24,'2Рабочее время'!$A$1:$C$50,3,FALSE)))),IF((AND(COUNTA(P24:R24)=1,Q24&gt;0)),Q24*((IF(VLOOKUP(D24,'2Рабочее время'!$A$1:$C$50,2,FALSE)&gt;0,VLOOKUP(D24,'2Рабочее время'!$A$1:$C$50,2,FALSE),VLOOKUP(D24,'2Рабочее время'!$A$1:$C$50,3,FALSE)))),IF((AND(COUNTA(S24:U24)=1,T24&gt;0)),T24*((IF(VLOOKUP(D24,'2Рабочее время'!$A$1:$C$50,2,FALSE)&gt;0,VLOOKUP(D24,'2Рабочее время'!$A$1:$C$50,2,FALSE),VLOOKUP(D24,'2Рабочее время'!$A$1:$C$50,3,FALSE)))),IF((AND(COUNTA(S24:U24)=1,U24&gt;0)),U24*O24*IF(N24=0,0,IF(N24="Количество в месяц",1,IF(N24="Количество в неделю",4.285,IF(N24="Количество в день",IF(VLOOKUP(D24,'2Рабочее время'!$A$1:$C$50,2,FALSE)&gt;0,VLOOKUP(D24,'2Рабочее время'!$A$1:$C$50,2,FALSE),VLOOKUP(D24,'2Рабочее время'!$A$1:$C$50,3,FALSE)))))),0))))))</f>
        <v>0</v>
      </c>
      <c r="W24" s="120">
        <v>1</v>
      </c>
      <c r="X24" s="13">
        <f>IF(N24=0,0,IF(N24="Количество в месяц",L24*O24*W24,IF(N24="Количество в неделю",L24*O24*W24*4.285,IF(N24="Количество в день",L24*O24*W24*IF(VLOOKUP(D24,'2Рабочее время'!$A$1:$C$50,2,FALSE)&gt;0,VLOOKUP(D24,'2Рабочее время'!$A$1:$C$50,2,FALSE),VLOOKUP(D24,'2Рабочее время'!$A$1:$C$50,3,FALSE))))))+V24</f>
        <v>102</v>
      </c>
      <c r="Y24" s="13">
        <f t="shared" si="3"/>
        <v>1.7</v>
      </c>
    </row>
    <row r="25" spans="1:25" ht="54" customHeight="1" x14ac:dyDescent="0.25">
      <c r="A25" s="23">
        <v>24</v>
      </c>
      <c r="B25" s="23"/>
      <c r="C25" s="23"/>
      <c r="D25" s="118" t="s">
        <v>108</v>
      </c>
      <c r="E25" s="125"/>
      <c r="F25" s="122">
        <v>1</v>
      </c>
      <c r="G25" s="123" t="s">
        <v>89</v>
      </c>
      <c r="H25" s="123" t="s">
        <v>91</v>
      </c>
      <c r="I25" s="123" t="s">
        <v>153</v>
      </c>
      <c r="J25" s="118">
        <v>120</v>
      </c>
      <c r="K25" s="107">
        <v>150</v>
      </c>
      <c r="L25" s="13">
        <f t="shared" si="1"/>
        <v>132</v>
      </c>
      <c r="M25" s="123" t="s">
        <v>146</v>
      </c>
      <c r="N25" s="118" t="s">
        <v>0</v>
      </c>
      <c r="O25" s="118">
        <v>1</v>
      </c>
      <c r="P25" s="75"/>
      <c r="Q25" s="63"/>
      <c r="R25" s="63"/>
      <c r="S25" s="77"/>
      <c r="T25" s="63"/>
      <c r="U25" s="63"/>
      <c r="V25" s="119">
        <f>IF(OR(COUNTA(P25:R25)&gt;=2,COUNTA(S25:U25)&gt;=2),"ошибка",(IF((AND(COUNTA(P25:R25)=1,P25&gt;0)),P25*60*VLOOKUP(D25,'2Рабочее время'!$A:$L,4,FALSE)*((IF(VLOOKUP(D25,'2Рабочее время'!$A$1:$C$50,2,FALSE)&gt;0,VLOOKUP(D25,'2Рабочее время'!$A$1:$C$50,2,FALSE),VLOOKUP(D25,'2Рабочее время'!$A$1:$C$50,3,FALSE)))),IF((AND(COUNTA(P25:R25)=1,Q25&gt;0)),Q25*((IF(VLOOKUP(D25,'2Рабочее время'!$A$1:$C$50,2,FALSE)&gt;0,VLOOKUP(D25,'2Рабочее время'!$A$1:$C$50,2,FALSE),VLOOKUP(D25,'2Рабочее время'!$A$1:$C$50,3,FALSE)))),IF((AND(COUNTA(P25:R25)=1,R25&gt;0)),R25*O25*IF(N25=0,0,IF(N25="Количество в месяц",1,IF(N25="Количество в неделю",4.285,IF(N25="Количество в день",IF(VLOOKUP(D25,'2Рабочее время'!$A$1:$C$50,2,FALSE)&gt;0,VLOOKUP(D25,'2Рабочее время'!$A$1:$C$50,2,FALSE),VLOOKUP(D25,'2Рабочее время'!$A$1:$C$50,3,FALSE)))))),0)))+IF((AND(COUNTA(S25:U25)=1,S25&gt;0)),S25*60*VLOOKUP(D25,'2Рабочее время'!$A:$L,4,FALSE)*((IF(VLOOKUP(D25,'2Рабочее время'!$A$1:$C$50,2,FALSE)&gt;0,VLOOKUP(D25,'2Рабочее время'!$A$1:$C$50,2,FALSE),VLOOKUP(D25,'2Рабочее время'!$A$1:$C$50,3,FALSE)))),IF((AND(COUNTA(P25:R25)=1,Q25&gt;0)),Q25*((IF(VLOOKUP(D25,'2Рабочее время'!$A$1:$C$50,2,FALSE)&gt;0,VLOOKUP(D25,'2Рабочее время'!$A$1:$C$50,2,FALSE),VLOOKUP(D25,'2Рабочее время'!$A$1:$C$50,3,FALSE)))),IF((AND(COUNTA(S25:U25)=1,T25&gt;0)),T25*((IF(VLOOKUP(D25,'2Рабочее время'!$A$1:$C$50,2,FALSE)&gt;0,VLOOKUP(D25,'2Рабочее время'!$A$1:$C$50,2,FALSE),VLOOKUP(D25,'2Рабочее время'!$A$1:$C$50,3,FALSE)))),IF((AND(COUNTA(S25:U25)=1,U25&gt;0)),U25*O25*IF(N25=0,0,IF(N25="Количество в месяц",1,IF(N25="Количество в неделю",4.285,IF(N25="Количество в день",IF(VLOOKUP(D25,'2Рабочее время'!$A$1:$C$50,2,FALSE)&gt;0,VLOOKUP(D25,'2Рабочее время'!$A$1:$C$50,2,FALSE),VLOOKUP(D25,'2Рабочее время'!$A$1:$C$50,3,FALSE)))))),0))))))</f>
        <v>0</v>
      </c>
      <c r="W25" s="120">
        <v>1</v>
      </c>
      <c r="X25" s="13">
        <f>IF(N25=0,0,IF(N25="Количество в месяц",L25*O25*W25,IF(N25="Количество в неделю",L25*O25*W25*4.285,IF(N25="Количество в день",L25*O25*W25*IF(VLOOKUP(D25,'2Рабочее время'!$A$1:$C$50,2,FALSE)&gt;0,VLOOKUP(D25,'2Рабочее время'!$A$1:$C$50,2,FALSE),VLOOKUP(D25,'2Рабочее время'!$A$1:$C$50,3,FALSE))))))+V25</f>
        <v>132</v>
      </c>
      <c r="Y25" s="13">
        <f t="shared" si="3"/>
        <v>2.2000000000000002</v>
      </c>
    </row>
    <row r="26" spans="1:25" ht="54" customHeight="1" x14ac:dyDescent="0.25">
      <c r="A26" s="23">
        <v>25</v>
      </c>
      <c r="B26" s="23"/>
      <c r="C26" s="23"/>
      <c r="D26" s="118" t="s">
        <v>111</v>
      </c>
      <c r="E26" s="125"/>
      <c r="F26" s="122">
        <v>1</v>
      </c>
      <c r="G26" s="123" t="s">
        <v>92</v>
      </c>
      <c r="H26" s="123" t="s">
        <v>144</v>
      </c>
      <c r="I26" s="123" t="s">
        <v>124</v>
      </c>
      <c r="J26" s="118">
        <v>35</v>
      </c>
      <c r="K26" s="107">
        <v>60</v>
      </c>
      <c r="L26" s="13">
        <f t="shared" si="1"/>
        <v>45</v>
      </c>
      <c r="M26" s="123" t="s">
        <v>162</v>
      </c>
      <c r="N26" s="118" t="s">
        <v>0</v>
      </c>
      <c r="O26" s="118">
        <v>8</v>
      </c>
      <c r="P26" s="75"/>
      <c r="Q26" s="63"/>
      <c r="R26" s="63"/>
      <c r="S26" s="77"/>
      <c r="T26" s="63"/>
      <c r="U26" s="63"/>
      <c r="V26" s="119">
        <f>IF(OR(COUNTA(P26:R26)&gt;=2,COUNTA(S26:U26)&gt;=2),"ошибка",(IF((AND(COUNTA(P26:R26)=1,P26&gt;0)),P26*60*VLOOKUP(D26,'2Рабочее время'!$A:$L,4,FALSE)*((IF(VLOOKUP(D26,'2Рабочее время'!$A$1:$C$50,2,FALSE)&gt;0,VLOOKUP(D26,'2Рабочее время'!$A$1:$C$50,2,FALSE),VLOOKUP(D26,'2Рабочее время'!$A$1:$C$50,3,FALSE)))),IF((AND(COUNTA(P26:R26)=1,Q26&gt;0)),Q26*((IF(VLOOKUP(D26,'2Рабочее время'!$A$1:$C$50,2,FALSE)&gt;0,VLOOKUP(D26,'2Рабочее время'!$A$1:$C$50,2,FALSE),VLOOKUP(D26,'2Рабочее время'!$A$1:$C$50,3,FALSE)))),IF((AND(COUNTA(P26:R26)=1,R26&gt;0)),R26*O26*IF(N26=0,0,IF(N26="Количество в месяц",1,IF(N26="Количество в неделю",4.285,IF(N26="Количество в день",IF(VLOOKUP(D26,'2Рабочее время'!$A$1:$C$50,2,FALSE)&gt;0,VLOOKUP(D26,'2Рабочее время'!$A$1:$C$50,2,FALSE),VLOOKUP(D26,'2Рабочее время'!$A$1:$C$50,3,FALSE)))))),0)))+IF((AND(COUNTA(S26:U26)=1,S26&gt;0)),S26*60*VLOOKUP(D26,'2Рабочее время'!$A:$L,4,FALSE)*((IF(VLOOKUP(D26,'2Рабочее время'!$A$1:$C$50,2,FALSE)&gt;0,VLOOKUP(D26,'2Рабочее время'!$A$1:$C$50,2,FALSE),VLOOKUP(D26,'2Рабочее время'!$A$1:$C$50,3,FALSE)))),IF((AND(COUNTA(P26:R26)=1,Q26&gt;0)),Q26*((IF(VLOOKUP(D26,'2Рабочее время'!$A$1:$C$50,2,FALSE)&gt;0,VLOOKUP(D26,'2Рабочее время'!$A$1:$C$50,2,FALSE),VLOOKUP(D26,'2Рабочее время'!$A$1:$C$50,3,FALSE)))),IF((AND(COUNTA(S26:U26)=1,T26&gt;0)),T26*((IF(VLOOKUP(D26,'2Рабочее время'!$A$1:$C$50,2,FALSE)&gt;0,VLOOKUP(D26,'2Рабочее время'!$A$1:$C$50,2,FALSE),VLOOKUP(D26,'2Рабочее время'!$A$1:$C$50,3,FALSE)))),IF((AND(COUNTA(S26:U26)=1,U26&gt;0)),U26*O26*IF(N26=0,0,IF(N26="Количество в месяц",1,IF(N26="Количество в неделю",4.285,IF(N26="Количество в день",IF(VLOOKUP(D26,'2Рабочее время'!$A$1:$C$50,2,FALSE)&gt;0,VLOOKUP(D26,'2Рабочее время'!$A$1:$C$50,2,FALSE),VLOOKUP(D26,'2Рабочее время'!$A$1:$C$50,3,FALSE)))))),0))))))</f>
        <v>0</v>
      </c>
      <c r="W26" s="120">
        <v>1</v>
      </c>
      <c r="X26" s="13">
        <f>IF(N26=0,0,IF(N26="Количество в месяц",L26*O26*W26,IF(N26="Количество в неделю",L26*O26*W26*4.285,IF(N26="Количество в день",L26*O26*W26*IF(VLOOKUP(D26,'2Рабочее время'!$A$1:$C$50,2,FALSE)&gt;0,VLOOKUP(D26,'2Рабочее время'!$A$1:$C$50,2,FALSE),VLOOKUP(D26,'2Рабочее время'!$A$1:$C$50,3,FALSE))))))+V26</f>
        <v>360</v>
      </c>
      <c r="Y26" s="13">
        <f t="shared" si="3"/>
        <v>6</v>
      </c>
    </row>
    <row r="27" spans="1:25" ht="54" customHeight="1" x14ac:dyDescent="0.25">
      <c r="A27" s="23">
        <v>26</v>
      </c>
      <c r="B27" s="23"/>
      <c r="C27" s="23"/>
      <c r="D27" s="118" t="s">
        <v>111</v>
      </c>
      <c r="E27" s="125"/>
      <c r="F27" s="122">
        <v>1</v>
      </c>
      <c r="G27" s="123" t="s">
        <v>92</v>
      </c>
      <c r="H27" s="123" t="s">
        <v>93</v>
      </c>
      <c r="I27" s="123" t="s">
        <v>124</v>
      </c>
      <c r="J27" s="118">
        <v>120</v>
      </c>
      <c r="K27" s="107">
        <v>120</v>
      </c>
      <c r="L27" s="13">
        <f t="shared" si="1"/>
        <v>120</v>
      </c>
      <c r="M27" s="123" t="s">
        <v>162</v>
      </c>
      <c r="N27" s="118" t="s">
        <v>0</v>
      </c>
      <c r="O27" s="118">
        <v>8</v>
      </c>
      <c r="P27" s="75"/>
      <c r="Q27" s="63"/>
      <c r="R27" s="63"/>
      <c r="S27" s="77"/>
      <c r="T27" s="63"/>
      <c r="U27" s="63"/>
      <c r="V27" s="119">
        <f>IF(OR(COUNTA(P27:R27)&gt;=2,COUNTA(S27:U27)&gt;=2),"ошибка",(IF((AND(COUNTA(P27:R27)=1,P27&gt;0)),P27*60*VLOOKUP(D27,'2Рабочее время'!$A:$L,4,FALSE)*((IF(VLOOKUP(D27,'2Рабочее время'!$A$1:$C$50,2,FALSE)&gt;0,VLOOKUP(D27,'2Рабочее время'!$A$1:$C$50,2,FALSE),VLOOKUP(D27,'2Рабочее время'!$A$1:$C$50,3,FALSE)))),IF((AND(COUNTA(P27:R27)=1,Q27&gt;0)),Q27*((IF(VLOOKUP(D27,'2Рабочее время'!$A$1:$C$50,2,FALSE)&gt;0,VLOOKUP(D27,'2Рабочее время'!$A$1:$C$50,2,FALSE),VLOOKUP(D27,'2Рабочее время'!$A$1:$C$50,3,FALSE)))),IF((AND(COUNTA(P27:R27)=1,R27&gt;0)),R27*O27*IF(N27=0,0,IF(N27="Количество в месяц",1,IF(N27="Количество в неделю",4.285,IF(N27="Количество в день",IF(VLOOKUP(D27,'2Рабочее время'!$A$1:$C$50,2,FALSE)&gt;0,VLOOKUP(D27,'2Рабочее время'!$A$1:$C$50,2,FALSE),VLOOKUP(D27,'2Рабочее время'!$A$1:$C$50,3,FALSE)))))),0)))+IF((AND(COUNTA(S27:U27)=1,S27&gt;0)),S27*60*VLOOKUP(D27,'2Рабочее время'!$A:$L,4,FALSE)*((IF(VLOOKUP(D27,'2Рабочее время'!$A$1:$C$50,2,FALSE)&gt;0,VLOOKUP(D27,'2Рабочее время'!$A$1:$C$50,2,FALSE),VLOOKUP(D27,'2Рабочее время'!$A$1:$C$50,3,FALSE)))),IF((AND(COUNTA(P27:R27)=1,Q27&gt;0)),Q27*((IF(VLOOKUP(D27,'2Рабочее время'!$A$1:$C$50,2,FALSE)&gt;0,VLOOKUP(D27,'2Рабочее время'!$A$1:$C$50,2,FALSE),VLOOKUP(D27,'2Рабочее время'!$A$1:$C$50,3,FALSE)))),IF((AND(COUNTA(S27:U27)=1,T27&gt;0)),T27*((IF(VLOOKUP(D27,'2Рабочее время'!$A$1:$C$50,2,FALSE)&gt;0,VLOOKUP(D27,'2Рабочее время'!$A$1:$C$50,2,FALSE),VLOOKUP(D27,'2Рабочее время'!$A$1:$C$50,3,FALSE)))),IF((AND(COUNTA(S27:U27)=1,U27&gt;0)),U27*O27*IF(N27=0,0,IF(N27="Количество в месяц",1,IF(N27="Количество в неделю",4.285,IF(N27="Количество в день",IF(VLOOKUP(D27,'2Рабочее время'!$A$1:$C$50,2,FALSE)&gt;0,VLOOKUP(D27,'2Рабочее время'!$A$1:$C$50,2,FALSE),VLOOKUP(D27,'2Рабочее время'!$A$1:$C$50,3,FALSE)))))),0))))))</f>
        <v>0</v>
      </c>
      <c r="W27" s="120">
        <v>1</v>
      </c>
      <c r="X27" s="13">
        <f>IF(N27=0,0,IF(N27="Количество в месяц",L27*O27*W27,IF(N27="Количество в неделю",L27*O27*W27*4.285,IF(N27="Количество в день",L27*O27*W27*IF(VLOOKUP(D27,'2Рабочее время'!$A$1:$C$50,2,FALSE)&gt;0,VLOOKUP(D27,'2Рабочее время'!$A$1:$C$50,2,FALSE),VLOOKUP(D27,'2Рабочее время'!$A$1:$C$50,3,FALSE))))))+V27</f>
        <v>960</v>
      </c>
      <c r="Y27" s="13">
        <f t="shared" si="3"/>
        <v>16</v>
      </c>
    </row>
    <row r="28" spans="1:25" ht="54" customHeight="1" x14ac:dyDescent="0.25">
      <c r="A28" s="23">
        <v>27</v>
      </c>
      <c r="B28" s="23"/>
      <c r="C28" s="23"/>
      <c r="D28" s="118" t="s">
        <v>108</v>
      </c>
      <c r="E28" s="125"/>
      <c r="F28" s="122">
        <v>1</v>
      </c>
      <c r="G28" s="123" t="s">
        <v>94</v>
      </c>
      <c r="H28" s="123" t="s">
        <v>95</v>
      </c>
      <c r="I28" s="123" t="s">
        <v>124</v>
      </c>
      <c r="J28" s="118">
        <v>180</v>
      </c>
      <c r="K28" s="107">
        <v>240</v>
      </c>
      <c r="L28" s="13">
        <f t="shared" si="1"/>
        <v>204</v>
      </c>
      <c r="M28" s="123" t="s">
        <v>162</v>
      </c>
      <c r="N28" s="118" t="s">
        <v>0</v>
      </c>
      <c r="O28" s="118">
        <v>1</v>
      </c>
      <c r="P28" s="75"/>
      <c r="Q28" s="63"/>
      <c r="R28" s="63"/>
      <c r="S28" s="77"/>
      <c r="T28" s="63"/>
      <c r="U28" s="63"/>
      <c r="V28" s="119">
        <f>IF(OR(COUNTA(P28:R28)&gt;=2,COUNTA(S28:U28)&gt;=2),"ошибка",(IF((AND(COUNTA(P28:R28)=1,P28&gt;0)),P28*60*VLOOKUP(D28,'2Рабочее время'!$A:$L,4,FALSE)*((IF(VLOOKUP(D28,'2Рабочее время'!$A$1:$C$50,2,FALSE)&gt;0,VLOOKUP(D28,'2Рабочее время'!$A$1:$C$50,2,FALSE),VLOOKUP(D28,'2Рабочее время'!$A$1:$C$50,3,FALSE)))),IF((AND(COUNTA(P28:R28)=1,Q28&gt;0)),Q28*((IF(VLOOKUP(D28,'2Рабочее время'!$A$1:$C$50,2,FALSE)&gt;0,VLOOKUP(D28,'2Рабочее время'!$A$1:$C$50,2,FALSE),VLOOKUP(D28,'2Рабочее время'!$A$1:$C$50,3,FALSE)))),IF((AND(COUNTA(P28:R28)=1,R28&gt;0)),R28*O28*IF(N28=0,0,IF(N28="Количество в месяц",1,IF(N28="Количество в неделю",4.285,IF(N28="Количество в день",IF(VLOOKUP(D28,'2Рабочее время'!$A$1:$C$50,2,FALSE)&gt;0,VLOOKUP(D28,'2Рабочее время'!$A$1:$C$50,2,FALSE),VLOOKUP(D28,'2Рабочее время'!$A$1:$C$50,3,FALSE)))))),0)))+IF((AND(COUNTA(S28:U28)=1,S28&gt;0)),S28*60*VLOOKUP(D28,'2Рабочее время'!$A:$L,4,FALSE)*((IF(VLOOKUP(D28,'2Рабочее время'!$A$1:$C$50,2,FALSE)&gt;0,VLOOKUP(D28,'2Рабочее время'!$A$1:$C$50,2,FALSE),VLOOKUP(D28,'2Рабочее время'!$A$1:$C$50,3,FALSE)))),IF((AND(COUNTA(P28:R28)=1,Q28&gt;0)),Q28*((IF(VLOOKUP(D28,'2Рабочее время'!$A$1:$C$50,2,FALSE)&gt;0,VLOOKUP(D28,'2Рабочее время'!$A$1:$C$50,2,FALSE),VLOOKUP(D28,'2Рабочее время'!$A$1:$C$50,3,FALSE)))),IF((AND(COUNTA(S28:U28)=1,T28&gt;0)),T28*((IF(VLOOKUP(D28,'2Рабочее время'!$A$1:$C$50,2,FALSE)&gt;0,VLOOKUP(D28,'2Рабочее время'!$A$1:$C$50,2,FALSE),VLOOKUP(D28,'2Рабочее время'!$A$1:$C$50,3,FALSE)))),IF((AND(COUNTA(S28:U28)=1,U28&gt;0)),U28*O28*IF(N28=0,0,IF(N28="Количество в месяц",1,IF(N28="Количество в неделю",4.285,IF(N28="Количество в день",IF(VLOOKUP(D28,'2Рабочее время'!$A$1:$C$50,2,FALSE)&gt;0,VLOOKUP(D28,'2Рабочее время'!$A$1:$C$50,2,FALSE),VLOOKUP(D28,'2Рабочее время'!$A$1:$C$50,3,FALSE)))))),0))))))</f>
        <v>0</v>
      </c>
      <c r="W28" s="120">
        <v>1</v>
      </c>
      <c r="X28" s="13">
        <f>IF(N28=0,0,IF(N28="Количество в месяц",L28*O28*W28,IF(N28="Количество в неделю",L28*O28*W28*4.285,IF(N28="Количество в день",L28*O28*W28*IF(VLOOKUP(D28,'2Рабочее время'!$A$1:$C$50,2,FALSE)&gt;0,VLOOKUP(D28,'2Рабочее время'!$A$1:$C$50,2,FALSE),VLOOKUP(D28,'2Рабочее время'!$A$1:$C$50,3,FALSE))))))+V28</f>
        <v>204</v>
      </c>
      <c r="Y28" s="13">
        <f t="shared" si="3"/>
        <v>3.4</v>
      </c>
    </row>
    <row r="29" spans="1:25" ht="54" customHeight="1" x14ac:dyDescent="0.25">
      <c r="A29" s="23">
        <v>28</v>
      </c>
      <c r="B29" s="23"/>
      <c r="C29" s="23"/>
      <c r="D29" s="118" t="s">
        <v>108</v>
      </c>
      <c r="E29" s="125"/>
      <c r="F29" s="122">
        <v>1</v>
      </c>
      <c r="G29" s="123" t="s">
        <v>94</v>
      </c>
      <c r="H29" s="123" t="s">
        <v>82</v>
      </c>
      <c r="I29" s="123" t="s">
        <v>145</v>
      </c>
      <c r="J29" s="118">
        <v>180</v>
      </c>
      <c r="K29" s="107">
        <v>240</v>
      </c>
      <c r="L29" s="13">
        <f t="shared" si="1"/>
        <v>204</v>
      </c>
      <c r="M29" s="123" t="s">
        <v>162</v>
      </c>
      <c r="N29" s="118" t="s">
        <v>0</v>
      </c>
      <c r="O29" s="118">
        <v>1</v>
      </c>
      <c r="P29" s="75"/>
      <c r="Q29" s="63"/>
      <c r="R29" s="63"/>
      <c r="S29" s="77"/>
      <c r="T29" s="63"/>
      <c r="U29" s="63"/>
      <c r="V29" s="119">
        <f>IF(OR(COUNTA(P29:R29)&gt;=2,COUNTA(S29:U29)&gt;=2),"ошибка",(IF((AND(COUNTA(P29:R29)=1,P29&gt;0)),P29*60*VLOOKUP(D29,'2Рабочее время'!$A:$L,4,FALSE)*((IF(VLOOKUP(D29,'2Рабочее время'!$A$1:$C$50,2,FALSE)&gt;0,VLOOKUP(D29,'2Рабочее время'!$A$1:$C$50,2,FALSE),VLOOKUP(D29,'2Рабочее время'!$A$1:$C$50,3,FALSE)))),IF((AND(COUNTA(P29:R29)=1,Q29&gt;0)),Q29*((IF(VLOOKUP(D29,'2Рабочее время'!$A$1:$C$50,2,FALSE)&gt;0,VLOOKUP(D29,'2Рабочее время'!$A$1:$C$50,2,FALSE),VLOOKUP(D29,'2Рабочее время'!$A$1:$C$50,3,FALSE)))),IF((AND(COUNTA(P29:R29)=1,R29&gt;0)),R29*O29*IF(N29=0,0,IF(N29="Количество в месяц",1,IF(N29="Количество в неделю",4.285,IF(N29="Количество в день",IF(VLOOKUP(D29,'2Рабочее время'!$A$1:$C$50,2,FALSE)&gt;0,VLOOKUP(D29,'2Рабочее время'!$A$1:$C$50,2,FALSE),VLOOKUP(D29,'2Рабочее время'!$A$1:$C$50,3,FALSE)))))),0)))+IF((AND(COUNTA(S29:U29)=1,S29&gt;0)),S29*60*VLOOKUP(D29,'2Рабочее время'!$A:$L,4,FALSE)*((IF(VLOOKUP(D29,'2Рабочее время'!$A$1:$C$50,2,FALSE)&gt;0,VLOOKUP(D29,'2Рабочее время'!$A$1:$C$50,2,FALSE),VLOOKUP(D29,'2Рабочее время'!$A$1:$C$50,3,FALSE)))),IF((AND(COUNTA(P29:R29)=1,Q29&gt;0)),Q29*((IF(VLOOKUP(D29,'2Рабочее время'!$A$1:$C$50,2,FALSE)&gt;0,VLOOKUP(D29,'2Рабочее время'!$A$1:$C$50,2,FALSE),VLOOKUP(D29,'2Рабочее время'!$A$1:$C$50,3,FALSE)))),IF((AND(COUNTA(S29:U29)=1,T29&gt;0)),T29*((IF(VLOOKUP(D29,'2Рабочее время'!$A$1:$C$50,2,FALSE)&gt;0,VLOOKUP(D29,'2Рабочее время'!$A$1:$C$50,2,FALSE),VLOOKUP(D29,'2Рабочее время'!$A$1:$C$50,3,FALSE)))),IF((AND(COUNTA(S29:U29)=1,U29&gt;0)),U29*O29*IF(N29=0,0,IF(N29="Количество в месяц",1,IF(N29="Количество в неделю",4.285,IF(N29="Количество в день",IF(VLOOKUP(D29,'2Рабочее время'!$A$1:$C$50,2,FALSE)&gt;0,VLOOKUP(D29,'2Рабочее время'!$A$1:$C$50,2,FALSE),VLOOKUP(D29,'2Рабочее время'!$A$1:$C$50,3,FALSE)))))),0))))))</f>
        <v>0</v>
      </c>
      <c r="W29" s="120">
        <v>1</v>
      </c>
      <c r="X29" s="13">
        <f>IF(N29=0,0,IF(N29="Количество в месяц",L29*O29*W29,IF(N29="Количество в неделю",L29*O29*W29*4.285,IF(N29="Количество в день",L29*O29*W29*IF(VLOOKUP(D29,'2Рабочее время'!$A$1:$C$50,2,FALSE)&gt;0,VLOOKUP(D29,'2Рабочее время'!$A$1:$C$50,2,FALSE),VLOOKUP(D29,'2Рабочее время'!$A$1:$C$50,3,FALSE))))))+V29</f>
        <v>204</v>
      </c>
      <c r="Y29" s="13">
        <f t="shared" si="3"/>
        <v>3.4</v>
      </c>
    </row>
    <row r="30" spans="1:25" ht="54" customHeight="1" x14ac:dyDescent="0.25">
      <c r="A30" s="23">
        <v>29</v>
      </c>
      <c r="B30" s="23"/>
      <c r="C30" s="23"/>
      <c r="D30" s="118" t="s">
        <v>108</v>
      </c>
      <c r="E30" s="125"/>
      <c r="F30" s="122">
        <v>1</v>
      </c>
      <c r="G30" s="123" t="s">
        <v>94</v>
      </c>
      <c r="H30" s="123" t="s">
        <v>96</v>
      </c>
      <c r="I30" s="123" t="s">
        <v>124</v>
      </c>
      <c r="J30" s="118">
        <v>480</v>
      </c>
      <c r="K30" s="107">
        <v>480</v>
      </c>
      <c r="L30" s="13">
        <f t="shared" si="1"/>
        <v>480</v>
      </c>
      <c r="M30" s="123" t="s">
        <v>162</v>
      </c>
      <c r="N30" s="118" t="s">
        <v>0</v>
      </c>
      <c r="O30" s="118">
        <v>1</v>
      </c>
      <c r="P30" s="75"/>
      <c r="Q30" s="63"/>
      <c r="R30" s="63"/>
      <c r="S30" s="77"/>
      <c r="T30" s="63"/>
      <c r="U30" s="63"/>
      <c r="V30" s="119">
        <f>IF(OR(COUNTA(P30:R30)&gt;=2,COUNTA(S30:U30)&gt;=2),"ошибка",(IF((AND(COUNTA(P30:R30)=1,P30&gt;0)),P30*60*VLOOKUP(D30,'2Рабочее время'!$A:$L,4,FALSE)*((IF(VLOOKUP(D30,'2Рабочее время'!$A$1:$C$50,2,FALSE)&gt;0,VLOOKUP(D30,'2Рабочее время'!$A$1:$C$50,2,FALSE),VLOOKUP(D30,'2Рабочее время'!$A$1:$C$50,3,FALSE)))),IF((AND(COUNTA(P30:R30)=1,Q30&gt;0)),Q30*((IF(VLOOKUP(D30,'2Рабочее время'!$A$1:$C$50,2,FALSE)&gt;0,VLOOKUP(D30,'2Рабочее время'!$A$1:$C$50,2,FALSE),VLOOKUP(D30,'2Рабочее время'!$A$1:$C$50,3,FALSE)))),IF((AND(COUNTA(P30:R30)=1,R30&gt;0)),R30*O30*IF(N30=0,0,IF(N30="Количество в месяц",1,IF(N30="Количество в неделю",4.285,IF(N30="Количество в день",IF(VLOOKUP(D30,'2Рабочее время'!$A$1:$C$50,2,FALSE)&gt;0,VLOOKUP(D30,'2Рабочее время'!$A$1:$C$50,2,FALSE),VLOOKUP(D30,'2Рабочее время'!$A$1:$C$50,3,FALSE)))))),0)))+IF((AND(COUNTA(S30:U30)=1,S30&gt;0)),S30*60*VLOOKUP(D30,'2Рабочее время'!$A:$L,4,FALSE)*((IF(VLOOKUP(D30,'2Рабочее время'!$A$1:$C$50,2,FALSE)&gt;0,VLOOKUP(D30,'2Рабочее время'!$A$1:$C$50,2,FALSE),VLOOKUP(D30,'2Рабочее время'!$A$1:$C$50,3,FALSE)))),IF((AND(COUNTA(P30:R30)=1,Q30&gt;0)),Q30*((IF(VLOOKUP(D30,'2Рабочее время'!$A$1:$C$50,2,FALSE)&gt;0,VLOOKUP(D30,'2Рабочее время'!$A$1:$C$50,2,FALSE),VLOOKUP(D30,'2Рабочее время'!$A$1:$C$50,3,FALSE)))),IF((AND(COUNTA(S30:U30)=1,T30&gt;0)),T30*((IF(VLOOKUP(D30,'2Рабочее время'!$A$1:$C$50,2,FALSE)&gt;0,VLOOKUP(D30,'2Рабочее время'!$A$1:$C$50,2,FALSE),VLOOKUP(D30,'2Рабочее время'!$A$1:$C$50,3,FALSE)))),IF((AND(COUNTA(S30:U30)=1,U30&gt;0)),U30*O30*IF(N30=0,0,IF(N30="Количество в месяц",1,IF(N30="Количество в неделю",4.285,IF(N30="Количество в день",IF(VLOOKUP(D30,'2Рабочее время'!$A$1:$C$50,2,FALSE)&gt;0,VLOOKUP(D30,'2Рабочее время'!$A$1:$C$50,2,FALSE),VLOOKUP(D30,'2Рабочее время'!$A$1:$C$50,3,FALSE)))))),0))))))</f>
        <v>0</v>
      </c>
      <c r="W30" s="120">
        <v>1</v>
      </c>
      <c r="X30" s="13">
        <f>IF(N30=0,0,IF(N30="Количество в месяц",L30*O30*W30,IF(N30="Количество в неделю",L30*O30*W30*4.285,IF(N30="Количество в день",L30*O30*W30*IF(VLOOKUP(D30,'2Рабочее время'!$A$1:$C$50,2,FALSE)&gt;0,VLOOKUP(D30,'2Рабочее время'!$A$1:$C$50,2,FALSE),VLOOKUP(D30,'2Рабочее время'!$A$1:$C$50,3,FALSE))))))+V30</f>
        <v>480</v>
      </c>
      <c r="Y30" s="13">
        <f t="shared" si="3"/>
        <v>8</v>
      </c>
    </row>
    <row r="31" spans="1:25" ht="54" customHeight="1" x14ac:dyDescent="0.25">
      <c r="A31" s="23">
        <v>30</v>
      </c>
      <c r="B31" s="23"/>
      <c r="C31" s="23"/>
      <c r="D31" s="118" t="s">
        <v>108</v>
      </c>
      <c r="E31" s="125"/>
      <c r="F31" s="122">
        <v>1</v>
      </c>
      <c r="G31" s="123" t="s">
        <v>94</v>
      </c>
      <c r="H31" s="123" t="s">
        <v>97</v>
      </c>
      <c r="I31" s="123" t="s">
        <v>124</v>
      </c>
      <c r="J31" s="118">
        <v>2400</v>
      </c>
      <c r="K31" s="107">
        <v>2400</v>
      </c>
      <c r="L31" s="13">
        <f t="shared" si="1"/>
        <v>2400</v>
      </c>
      <c r="M31" s="123" t="s">
        <v>162</v>
      </c>
      <c r="N31" s="118" t="s">
        <v>0</v>
      </c>
      <c r="O31" s="118">
        <v>1</v>
      </c>
      <c r="P31" s="75"/>
      <c r="Q31" s="63"/>
      <c r="R31" s="63"/>
      <c r="S31" s="77"/>
      <c r="T31" s="63"/>
      <c r="U31" s="63"/>
      <c r="V31" s="119">
        <f>IF(OR(COUNTA(P31:R31)&gt;=2,COUNTA(S31:U31)&gt;=2),"ошибка",(IF((AND(COUNTA(P31:R31)=1,P31&gt;0)),P31*60*VLOOKUP(D31,'2Рабочее время'!$A:$L,4,FALSE)*((IF(VLOOKUP(D31,'2Рабочее время'!$A$1:$C$50,2,FALSE)&gt;0,VLOOKUP(D31,'2Рабочее время'!$A$1:$C$50,2,FALSE),VLOOKUP(D31,'2Рабочее время'!$A$1:$C$50,3,FALSE)))),IF((AND(COUNTA(P31:R31)=1,Q31&gt;0)),Q31*((IF(VLOOKUP(D31,'2Рабочее время'!$A$1:$C$50,2,FALSE)&gt;0,VLOOKUP(D31,'2Рабочее время'!$A$1:$C$50,2,FALSE),VLOOKUP(D31,'2Рабочее время'!$A$1:$C$50,3,FALSE)))),IF((AND(COUNTA(P31:R31)=1,R31&gt;0)),R31*O31*IF(N31=0,0,IF(N31="Количество в месяц",1,IF(N31="Количество в неделю",4.285,IF(N31="Количество в день",IF(VLOOKUP(D31,'2Рабочее время'!$A$1:$C$50,2,FALSE)&gt;0,VLOOKUP(D31,'2Рабочее время'!$A$1:$C$50,2,FALSE),VLOOKUP(D31,'2Рабочее время'!$A$1:$C$50,3,FALSE)))))),0)))+IF((AND(COUNTA(S31:U31)=1,S31&gt;0)),S31*60*VLOOKUP(D31,'2Рабочее время'!$A:$L,4,FALSE)*((IF(VLOOKUP(D31,'2Рабочее время'!$A$1:$C$50,2,FALSE)&gt;0,VLOOKUP(D31,'2Рабочее время'!$A$1:$C$50,2,FALSE),VLOOKUP(D31,'2Рабочее время'!$A$1:$C$50,3,FALSE)))),IF((AND(COUNTA(P31:R31)=1,Q31&gt;0)),Q31*((IF(VLOOKUP(D31,'2Рабочее время'!$A$1:$C$50,2,FALSE)&gt;0,VLOOKUP(D31,'2Рабочее время'!$A$1:$C$50,2,FALSE),VLOOKUP(D31,'2Рабочее время'!$A$1:$C$50,3,FALSE)))),IF((AND(COUNTA(S31:U31)=1,T31&gt;0)),T31*((IF(VLOOKUP(D31,'2Рабочее время'!$A$1:$C$50,2,FALSE)&gt;0,VLOOKUP(D31,'2Рабочее время'!$A$1:$C$50,2,FALSE),VLOOKUP(D31,'2Рабочее время'!$A$1:$C$50,3,FALSE)))),IF((AND(COUNTA(S31:U31)=1,U31&gt;0)),U31*O31*IF(N31=0,0,IF(N31="Количество в месяц",1,IF(N31="Количество в неделю",4.285,IF(N31="Количество в день",IF(VLOOKUP(D31,'2Рабочее время'!$A$1:$C$50,2,FALSE)&gt;0,VLOOKUP(D31,'2Рабочее время'!$A$1:$C$50,2,FALSE),VLOOKUP(D31,'2Рабочее время'!$A$1:$C$50,3,FALSE)))))),0))))))</f>
        <v>0</v>
      </c>
      <c r="W31" s="120">
        <v>1</v>
      </c>
      <c r="X31" s="13">
        <f>IF(N31=0,0,IF(N31="Количество в месяц",L31*O31*W31,IF(N31="Количество в неделю",L31*O31*W31*4.285,IF(N31="Количество в день",L31*O31*W31*IF(VLOOKUP(D31,'2Рабочее время'!$A$1:$C$50,2,FALSE)&gt;0,VLOOKUP(D31,'2Рабочее время'!$A$1:$C$50,2,FALSE),VLOOKUP(D31,'2Рабочее время'!$A$1:$C$50,3,FALSE))))))+V31</f>
        <v>2400</v>
      </c>
      <c r="Y31" s="13">
        <f t="shared" si="3"/>
        <v>40</v>
      </c>
    </row>
    <row r="32" spans="1:25" ht="54" customHeight="1" x14ac:dyDescent="0.25">
      <c r="A32" s="23">
        <v>31</v>
      </c>
      <c r="B32" s="23"/>
      <c r="C32" s="23"/>
      <c r="D32" s="118" t="s">
        <v>108</v>
      </c>
      <c r="E32" s="125"/>
      <c r="F32" s="122">
        <v>1</v>
      </c>
      <c r="G32" s="123" t="s">
        <v>98</v>
      </c>
      <c r="H32" s="123" t="s">
        <v>99</v>
      </c>
      <c r="I32" s="123" t="s">
        <v>147</v>
      </c>
      <c r="J32" s="118">
        <v>10</v>
      </c>
      <c r="K32" s="107">
        <v>25</v>
      </c>
      <c r="L32" s="13">
        <f t="shared" si="1"/>
        <v>16</v>
      </c>
      <c r="M32" s="123" t="s">
        <v>162</v>
      </c>
      <c r="N32" s="118" t="s">
        <v>0</v>
      </c>
      <c r="O32" s="118">
        <v>3</v>
      </c>
      <c r="P32" s="75"/>
      <c r="Q32" s="63"/>
      <c r="R32" s="63"/>
      <c r="S32" s="77"/>
      <c r="T32" s="63"/>
      <c r="U32" s="63"/>
      <c r="V32" s="119">
        <f>IF(OR(COUNTA(P32:R32)&gt;=2,COUNTA(S32:U32)&gt;=2),"ошибка",(IF((AND(COUNTA(P32:R32)=1,P32&gt;0)),P32*60*VLOOKUP(D32,'2Рабочее время'!$A:$L,4,FALSE)*((IF(VLOOKUP(D32,'2Рабочее время'!$A$1:$C$50,2,FALSE)&gt;0,VLOOKUP(D32,'2Рабочее время'!$A$1:$C$50,2,FALSE),VLOOKUP(D32,'2Рабочее время'!$A$1:$C$50,3,FALSE)))),IF((AND(COUNTA(P32:R32)=1,Q32&gt;0)),Q32*((IF(VLOOKUP(D32,'2Рабочее время'!$A$1:$C$50,2,FALSE)&gt;0,VLOOKUP(D32,'2Рабочее время'!$A$1:$C$50,2,FALSE),VLOOKUP(D32,'2Рабочее время'!$A$1:$C$50,3,FALSE)))),IF((AND(COUNTA(P32:R32)=1,R32&gt;0)),R32*O32*IF(N32=0,0,IF(N32="Количество в месяц",1,IF(N32="Количество в неделю",4.285,IF(N32="Количество в день",IF(VLOOKUP(D32,'2Рабочее время'!$A$1:$C$50,2,FALSE)&gt;0,VLOOKUP(D32,'2Рабочее время'!$A$1:$C$50,2,FALSE),VLOOKUP(D32,'2Рабочее время'!$A$1:$C$50,3,FALSE)))))),0)))+IF((AND(COUNTA(S32:U32)=1,S32&gt;0)),S32*60*VLOOKUP(D32,'2Рабочее время'!$A:$L,4,FALSE)*((IF(VLOOKUP(D32,'2Рабочее время'!$A$1:$C$50,2,FALSE)&gt;0,VLOOKUP(D32,'2Рабочее время'!$A$1:$C$50,2,FALSE),VLOOKUP(D32,'2Рабочее время'!$A$1:$C$50,3,FALSE)))),IF((AND(COUNTA(P32:R32)=1,Q32&gt;0)),Q32*((IF(VLOOKUP(D32,'2Рабочее время'!$A$1:$C$50,2,FALSE)&gt;0,VLOOKUP(D32,'2Рабочее время'!$A$1:$C$50,2,FALSE),VLOOKUP(D32,'2Рабочее время'!$A$1:$C$50,3,FALSE)))),IF((AND(COUNTA(S32:U32)=1,T32&gt;0)),T32*((IF(VLOOKUP(D32,'2Рабочее время'!$A$1:$C$50,2,FALSE)&gt;0,VLOOKUP(D32,'2Рабочее время'!$A$1:$C$50,2,FALSE),VLOOKUP(D32,'2Рабочее время'!$A$1:$C$50,3,FALSE)))),IF((AND(COUNTA(S32:U32)=1,U32&gt;0)),U32*O32*IF(N32=0,0,IF(N32="Количество в месяц",1,IF(N32="Количество в неделю",4.285,IF(N32="Количество в день",IF(VLOOKUP(D32,'2Рабочее время'!$A$1:$C$50,2,FALSE)&gt;0,VLOOKUP(D32,'2Рабочее время'!$A$1:$C$50,2,FALSE),VLOOKUP(D32,'2Рабочее время'!$A$1:$C$50,3,FALSE)))))),0))))))</f>
        <v>0</v>
      </c>
      <c r="W32" s="120">
        <v>1</v>
      </c>
      <c r="X32" s="13">
        <f>IF(N32=0,0,IF(N32="Количество в месяц",L32*O32*W32,IF(N32="Количество в неделю",L32*O32*W32*4.285,IF(N32="Количество в день",L32*O32*W32*IF(VLOOKUP(D32,'2Рабочее время'!$A$1:$C$50,2,FALSE)&gt;0,VLOOKUP(D32,'2Рабочее время'!$A$1:$C$50,2,FALSE),VLOOKUP(D32,'2Рабочее время'!$A$1:$C$50,3,FALSE))))))+V32</f>
        <v>48</v>
      </c>
      <c r="Y32" s="13">
        <f t="shared" si="3"/>
        <v>0.8</v>
      </c>
    </row>
    <row r="33" spans="1:25" ht="54" customHeight="1" x14ac:dyDescent="0.25">
      <c r="A33" s="23">
        <v>32</v>
      </c>
      <c r="B33" s="23"/>
      <c r="C33" s="23"/>
      <c r="D33" s="118" t="s">
        <v>108</v>
      </c>
      <c r="E33" s="125"/>
      <c r="F33" s="122">
        <v>1</v>
      </c>
      <c r="G33" s="123" t="s">
        <v>98</v>
      </c>
      <c r="H33" s="123" t="s">
        <v>100</v>
      </c>
      <c r="I33" s="123" t="s">
        <v>124</v>
      </c>
      <c r="J33" s="118">
        <v>40</v>
      </c>
      <c r="K33" s="107">
        <v>60</v>
      </c>
      <c r="L33" s="13">
        <f t="shared" si="1"/>
        <v>48</v>
      </c>
      <c r="M33" s="123" t="s">
        <v>162</v>
      </c>
      <c r="N33" s="118" t="s">
        <v>0</v>
      </c>
      <c r="O33" s="118">
        <v>3</v>
      </c>
      <c r="P33" s="75"/>
      <c r="Q33" s="63"/>
      <c r="R33" s="63"/>
      <c r="S33" s="77"/>
      <c r="T33" s="63"/>
      <c r="U33" s="63"/>
      <c r="V33" s="119">
        <f>IF(OR(COUNTA(P33:R33)&gt;=2,COUNTA(S33:U33)&gt;=2),"ошибка",(IF((AND(COUNTA(P33:R33)=1,P33&gt;0)),P33*60*VLOOKUP(D33,'2Рабочее время'!$A:$L,4,FALSE)*((IF(VLOOKUP(D33,'2Рабочее время'!$A$1:$C$50,2,FALSE)&gt;0,VLOOKUP(D33,'2Рабочее время'!$A$1:$C$50,2,FALSE),VLOOKUP(D33,'2Рабочее время'!$A$1:$C$50,3,FALSE)))),IF((AND(COUNTA(P33:R33)=1,Q33&gt;0)),Q33*((IF(VLOOKUP(D33,'2Рабочее время'!$A$1:$C$50,2,FALSE)&gt;0,VLOOKUP(D33,'2Рабочее время'!$A$1:$C$50,2,FALSE),VLOOKUP(D33,'2Рабочее время'!$A$1:$C$50,3,FALSE)))),IF((AND(COUNTA(P33:R33)=1,R33&gt;0)),R33*O33*IF(N33=0,0,IF(N33="Количество в месяц",1,IF(N33="Количество в неделю",4.285,IF(N33="Количество в день",IF(VLOOKUP(D33,'2Рабочее время'!$A$1:$C$50,2,FALSE)&gt;0,VLOOKUP(D33,'2Рабочее время'!$A$1:$C$50,2,FALSE),VLOOKUP(D33,'2Рабочее время'!$A$1:$C$50,3,FALSE)))))),0)))+IF((AND(COUNTA(S33:U33)=1,S33&gt;0)),S33*60*VLOOKUP(D33,'2Рабочее время'!$A:$L,4,FALSE)*((IF(VLOOKUP(D33,'2Рабочее время'!$A$1:$C$50,2,FALSE)&gt;0,VLOOKUP(D33,'2Рабочее время'!$A$1:$C$50,2,FALSE),VLOOKUP(D33,'2Рабочее время'!$A$1:$C$50,3,FALSE)))),IF((AND(COUNTA(P33:R33)=1,Q33&gt;0)),Q33*((IF(VLOOKUP(D33,'2Рабочее время'!$A$1:$C$50,2,FALSE)&gt;0,VLOOKUP(D33,'2Рабочее время'!$A$1:$C$50,2,FALSE),VLOOKUP(D33,'2Рабочее время'!$A$1:$C$50,3,FALSE)))),IF((AND(COUNTA(S33:U33)=1,T33&gt;0)),T33*((IF(VLOOKUP(D33,'2Рабочее время'!$A$1:$C$50,2,FALSE)&gt;0,VLOOKUP(D33,'2Рабочее время'!$A$1:$C$50,2,FALSE),VLOOKUP(D33,'2Рабочее время'!$A$1:$C$50,3,FALSE)))),IF((AND(COUNTA(S33:U33)=1,U33&gt;0)),U33*O33*IF(N33=0,0,IF(N33="Количество в месяц",1,IF(N33="Количество в неделю",4.285,IF(N33="Количество в день",IF(VLOOKUP(D33,'2Рабочее время'!$A$1:$C$50,2,FALSE)&gt;0,VLOOKUP(D33,'2Рабочее время'!$A$1:$C$50,2,FALSE),VLOOKUP(D33,'2Рабочее время'!$A$1:$C$50,3,FALSE)))))),0))))))</f>
        <v>0</v>
      </c>
      <c r="W33" s="120">
        <v>1</v>
      </c>
      <c r="X33" s="13">
        <f>IF(N33=0,0,IF(N33="Количество в месяц",L33*O33*W33,IF(N33="Количество в неделю",L33*O33*W33*4.285,IF(N33="Количество в день",L33*O33*W33*IF(VLOOKUP(D33,'2Рабочее время'!$A$1:$C$50,2,FALSE)&gt;0,VLOOKUP(D33,'2Рабочее время'!$A$1:$C$50,2,FALSE),VLOOKUP(D33,'2Рабочее время'!$A$1:$C$50,3,FALSE))))))+V33</f>
        <v>144</v>
      </c>
      <c r="Y33" s="13">
        <f t="shared" si="3"/>
        <v>2.4</v>
      </c>
    </row>
    <row r="34" spans="1:25" ht="54" customHeight="1" x14ac:dyDescent="0.25">
      <c r="A34" s="23">
        <v>33</v>
      </c>
      <c r="B34" s="23"/>
      <c r="C34" s="23"/>
      <c r="D34" s="118" t="s">
        <v>160</v>
      </c>
      <c r="E34" s="125"/>
      <c r="F34" s="122">
        <v>1</v>
      </c>
      <c r="G34" s="123" t="s">
        <v>101</v>
      </c>
      <c r="H34" s="123" t="s">
        <v>149</v>
      </c>
      <c r="I34" s="123" t="s">
        <v>124</v>
      </c>
      <c r="J34" s="118">
        <v>120</v>
      </c>
      <c r="K34" s="107">
        <v>180</v>
      </c>
      <c r="L34" s="13">
        <f t="shared" si="1"/>
        <v>144</v>
      </c>
      <c r="M34" s="123" t="s">
        <v>162</v>
      </c>
      <c r="N34" s="118" t="s">
        <v>0</v>
      </c>
      <c r="O34" s="118">
        <v>3</v>
      </c>
      <c r="P34" s="75"/>
      <c r="Q34" s="63"/>
      <c r="R34" s="63"/>
      <c r="S34" s="77"/>
      <c r="T34" s="63"/>
      <c r="U34" s="63"/>
      <c r="V34" s="119">
        <f>IF(OR(COUNTA(P34:R34)&gt;=2,COUNTA(S34:U34)&gt;=2),"ошибка",(IF((AND(COUNTA(P34:R34)=1,P34&gt;0)),P34*60*VLOOKUP(D34,'2Рабочее время'!$A:$L,4,FALSE)*((IF(VLOOKUP(D34,'2Рабочее время'!$A$1:$C$50,2,FALSE)&gt;0,VLOOKUP(D34,'2Рабочее время'!$A$1:$C$50,2,FALSE),VLOOKUP(D34,'2Рабочее время'!$A$1:$C$50,3,FALSE)))),IF((AND(COUNTA(P34:R34)=1,Q34&gt;0)),Q34*((IF(VLOOKUP(D34,'2Рабочее время'!$A$1:$C$50,2,FALSE)&gt;0,VLOOKUP(D34,'2Рабочее время'!$A$1:$C$50,2,FALSE),VLOOKUP(D34,'2Рабочее время'!$A$1:$C$50,3,FALSE)))),IF((AND(COUNTA(P34:R34)=1,R34&gt;0)),R34*O34*IF(N34=0,0,IF(N34="Количество в месяц",1,IF(N34="Количество в неделю",4.285,IF(N34="Количество в день",IF(VLOOKUP(D34,'2Рабочее время'!$A$1:$C$50,2,FALSE)&gt;0,VLOOKUP(D34,'2Рабочее время'!$A$1:$C$50,2,FALSE),VLOOKUP(D34,'2Рабочее время'!$A$1:$C$50,3,FALSE)))))),0)))+IF((AND(COUNTA(S34:U34)=1,S34&gt;0)),S34*60*VLOOKUP(D34,'2Рабочее время'!$A:$L,4,FALSE)*((IF(VLOOKUP(D34,'2Рабочее время'!$A$1:$C$50,2,FALSE)&gt;0,VLOOKUP(D34,'2Рабочее время'!$A$1:$C$50,2,FALSE),VLOOKUP(D34,'2Рабочее время'!$A$1:$C$50,3,FALSE)))),IF((AND(COUNTA(P34:R34)=1,Q34&gt;0)),Q34*((IF(VLOOKUP(D34,'2Рабочее время'!$A$1:$C$50,2,FALSE)&gt;0,VLOOKUP(D34,'2Рабочее время'!$A$1:$C$50,2,FALSE),VLOOKUP(D34,'2Рабочее время'!$A$1:$C$50,3,FALSE)))),IF((AND(COUNTA(S34:U34)=1,T34&gt;0)),T34*((IF(VLOOKUP(D34,'2Рабочее время'!$A$1:$C$50,2,FALSE)&gt;0,VLOOKUP(D34,'2Рабочее время'!$A$1:$C$50,2,FALSE),VLOOKUP(D34,'2Рабочее время'!$A$1:$C$50,3,FALSE)))),IF((AND(COUNTA(S34:U34)=1,U34&gt;0)),U34*O34*IF(N34=0,0,IF(N34="Количество в месяц",1,IF(N34="Количество в неделю",4.285,IF(N34="Количество в день",IF(VLOOKUP(D34,'2Рабочее время'!$A$1:$C$50,2,FALSE)&gt;0,VLOOKUP(D34,'2Рабочее время'!$A$1:$C$50,2,FALSE),VLOOKUP(D34,'2Рабочее время'!$A$1:$C$50,3,FALSE)))))),0))))))</f>
        <v>0</v>
      </c>
      <c r="W34" s="120">
        <v>1</v>
      </c>
      <c r="X34" s="13">
        <f>IF(N34=0,0,IF(N34="Количество в месяц",L34*O34*W34,IF(N34="Количество в неделю",L34*O34*W34*4.285,IF(N34="Количество в день",L34*O34*W34*IF(VLOOKUP(D34,'2Рабочее время'!$A$1:$C$50,2,FALSE)&gt;0,VLOOKUP(D34,'2Рабочее время'!$A$1:$C$50,2,FALSE),VLOOKUP(D34,'2Рабочее время'!$A$1:$C$50,3,FALSE))))))+V34</f>
        <v>432</v>
      </c>
      <c r="Y34" s="13">
        <f t="shared" si="3"/>
        <v>7.2</v>
      </c>
    </row>
    <row r="35" spans="1:25" ht="54" customHeight="1" x14ac:dyDescent="0.25">
      <c r="A35" s="23">
        <v>34</v>
      </c>
      <c r="B35" s="23"/>
      <c r="C35" s="23"/>
      <c r="D35" s="118" t="s">
        <v>160</v>
      </c>
      <c r="E35" s="125"/>
      <c r="F35" s="122">
        <v>1</v>
      </c>
      <c r="G35" s="123" t="s">
        <v>101</v>
      </c>
      <c r="H35" s="123" t="s">
        <v>148</v>
      </c>
      <c r="I35" s="123" t="s">
        <v>124</v>
      </c>
      <c r="J35" s="118">
        <v>60</v>
      </c>
      <c r="K35" s="107">
        <v>120</v>
      </c>
      <c r="L35" s="13">
        <f t="shared" si="1"/>
        <v>84</v>
      </c>
      <c r="M35" s="123" t="s">
        <v>162</v>
      </c>
      <c r="N35" s="118" t="s">
        <v>0</v>
      </c>
      <c r="O35" s="118">
        <v>10</v>
      </c>
      <c r="P35" s="75"/>
      <c r="Q35" s="63"/>
      <c r="R35" s="63"/>
      <c r="S35" s="77"/>
      <c r="T35" s="63"/>
      <c r="U35" s="63"/>
      <c r="V35" s="119">
        <f>IF(OR(COUNTA(P35:R35)&gt;=2,COUNTA(S35:U35)&gt;=2),"ошибка",(IF((AND(COUNTA(P35:R35)=1,P35&gt;0)),P35*60*VLOOKUP(D35,'2Рабочее время'!$A:$L,4,FALSE)*((IF(VLOOKUP(D35,'2Рабочее время'!$A$1:$C$50,2,FALSE)&gt;0,VLOOKUP(D35,'2Рабочее время'!$A$1:$C$50,2,FALSE),VLOOKUP(D35,'2Рабочее время'!$A$1:$C$50,3,FALSE)))),IF((AND(COUNTA(P35:R35)=1,Q35&gt;0)),Q35*((IF(VLOOKUP(D35,'2Рабочее время'!$A$1:$C$50,2,FALSE)&gt;0,VLOOKUP(D35,'2Рабочее время'!$A$1:$C$50,2,FALSE),VLOOKUP(D35,'2Рабочее время'!$A$1:$C$50,3,FALSE)))),IF((AND(COUNTA(P35:R35)=1,R35&gt;0)),R35*O35*IF(N35=0,0,IF(N35="Количество в месяц",1,IF(N35="Количество в неделю",4.285,IF(N35="Количество в день",IF(VLOOKUP(D35,'2Рабочее время'!$A$1:$C$50,2,FALSE)&gt;0,VLOOKUP(D35,'2Рабочее время'!$A$1:$C$50,2,FALSE),VLOOKUP(D35,'2Рабочее время'!$A$1:$C$50,3,FALSE)))))),0)))+IF((AND(COUNTA(S35:U35)=1,S35&gt;0)),S35*60*VLOOKUP(D35,'2Рабочее время'!$A:$L,4,FALSE)*((IF(VLOOKUP(D35,'2Рабочее время'!$A$1:$C$50,2,FALSE)&gt;0,VLOOKUP(D35,'2Рабочее время'!$A$1:$C$50,2,FALSE),VLOOKUP(D35,'2Рабочее время'!$A$1:$C$50,3,FALSE)))),IF((AND(COUNTA(P35:R35)=1,Q35&gt;0)),Q35*((IF(VLOOKUP(D35,'2Рабочее время'!$A$1:$C$50,2,FALSE)&gt;0,VLOOKUP(D35,'2Рабочее время'!$A$1:$C$50,2,FALSE),VLOOKUP(D35,'2Рабочее время'!$A$1:$C$50,3,FALSE)))),IF((AND(COUNTA(S35:U35)=1,T35&gt;0)),T35*((IF(VLOOKUP(D35,'2Рабочее время'!$A$1:$C$50,2,FALSE)&gt;0,VLOOKUP(D35,'2Рабочее время'!$A$1:$C$50,2,FALSE),VLOOKUP(D35,'2Рабочее время'!$A$1:$C$50,3,FALSE)))),IF((AND(COUNTA(S35:U35)=1,U35&gt;0)),U35*O35*IF(N35=0,0,IF(N35="Количество в месяц",1,IF(N35="Количество в неделю",4.285,IF(N35="Количество в день",IF(VLOOKUP(D35,'2Рабочее время'!$A$1:$C$50,2,FALSE)&gt;0,VLOOKUP(D35,'2Рабочее время'!$A$1:$C$50,2,FALSE),VLOOKUP(D35,'2Рабочее время'!$A$1:$C$50,3,FALSE)))))),0))))))</f>
        <v>0</v>
      </c>
      <c r="W35" s="120">
        <v>1</v>
      </c>
      <c r="X35" s="13">
        <f>IF(N35=0,0,IF(N35="Количество в месяц",L35*O35*W35,IF(N35="Количество в неделю",L35*O35*W35*4.285,IF(N35="Количество в день",L35*O35*W35*IF(VLOOKUP(D35,'2Рабочее время'!$A$1:$C$50,2,FALSE)&gt;0,VLOOKUP(D35,'2Рабочее время'!$A$1:$C$50,2,FALSE),VLOOKUP(D35,'2Рабочее время'!$A$1:$C$50,3,FALSE))))))+V35</f>
        <v>840</v>
      </c>
      <c r="Y35" s="13">
        <f t="shared" si="3"/>
        <v>14</v>
      </c>
    </row>
    <row r="36" spans="1:25" ht="54" customHeight="1" x14ac:dyDescent="0.25">
      <c r="A36" s="23">
        <v>35</v>
      </c>
      <c r="B36" s="23"/>
      <c r="C36" s="23"/>
      <c r="D36" s="118" t="s">
        <v>108</v>
      </c>
      <c r="E36" s="125"/>
      <c r="F36" s="122">
        <v>1</v>
      </c>
      <c r="G36" s="123" t="s">
        <v>101</v>
      </c>
      <c r="H36" s="123" t="s">
        <v>150</v>
      </c>
      <c r="I36" s="123" t="s">
        <v>124</v>
      </c>
      <c r="J36" s="118">
        <v>180</v>
      </c>
      <c r="K36" s="107">
        <v>240</v>
      </c>
      <c r="L36" s="13">
        <f t="shared" si="1"/>
        <v>204</v>
      </c>
      <c r="M36" s="123" t="s">
        <v>162</v>
      </c>
      <c r="N36" s="118" t="s">
        <v>0</v>
      </c>
      <c r="O36" s="118">
        <v>1</v>
      </c>
      <c r="P36" s="75"/>
      <c r="Q36" s="63"/>
      <c r="R36" s="63"/>
      <c r="S36" s="77"/>
      <c r="T36" s="63"/>
      <c r="U36" s="63"/>
      <c r="V36" s="119">
        <f>IF(OR(COUNTA(P36:R36)&gt;=2,COUNTA(S36:U36)&gt;=2),"ошибка",(IF((AND(COUNTA(P36:R36)=1,P36&gt;0)),P36*60*VLOOKUP(D36,'2Рабочее время'!$A:$L,4,FALSE)*((IF(VLOOKUP(D36,'2Рабочее время'!$A$1:$C$50,2,FALSE)&gt;0,VLOOKUP(D36,'2Рабочее время'!$A$1:$C$50,2,FALSE),VLOOKUP(D36,'2Рабочее время'!$A$1:$C$50,3,FALSE)))),IF((AND(COUNTA(P36:R36)=1,Q36&gt;0)),Q36*((IF(VLOOKUP(D36,'2Рабочее время'!$A$1:$C$50,2,FALSE)&gt;0,VLOOKUP(D36,'2Рабочее время'!$A$1:$C$50,2,FALSE),VLOOKUP(D36,'2Рабочее время'!$A$1:$C$50,3,FALSE)))),IF((AND(COUNTA(P36:R36)=1,R36&gt;0)),R36*O36*IF(N36=0,0,IF(N36="Количество в месяц",1,IF(N36="Количество в неделю",4.285,IF(N36="Количество в день",IF(VLOOKUP(D36,'2Рабочее время'!$A$1:$C$50,2,FALSE)&gt;0,VLOOKUP(D36,'2Рабочее время'!$A$1:$C$50,2,FALSE),VLOOKUP(D36,'2Рабочее время'!$A$1:$C$50,3,FALSE)))))),0)))+IF((AND(COUNTA(S36:U36)=1,S36&gt;0)),S36*60*VLOOKUP(D36,'2Рабочее время'!$A:$L,4,FALSE)*((IF(VLOOKUP(D36,'2Рабочее время'!$A$1:$C$50,2,FALSE)&gt;0,VLOOKUP(D36,'2Рабочее время'!$A$1:$C$50,2,FALSE),VLOOKUP(D36,'2Рабочее время'!$A$1:$C$50,3,FALSE)))),IF((AND(COUNTA(P36:R36)=1,Q36&gt;0)),Q36*((IF(VLOOKUP(D36,'2Рабочее время'!$A$1:$C$50,2,FALSE)&gt;0,VLOOKUP(D36,'2Рабочее время'!$A$1:$C$50,2,FALSE),VLOOKUP(D36,'2Рабочее время'!$A$1:$C$50,3,FALSE)))),IF((AND(COUNTA(S36:U36)=1,T36&gt;0)),T36*((IF(VLOOKUP(D36,'2Рабочее время'!$A$1:$C$50,2,FALSE)&gt;0,VLOOKUP(D36,'2Рабочее время'!$A$1:$C$50,2,FALSE),VLOOKUP(D36,'2Рабочее время'!$A$1:$C$50,3,FALSE)))),IF((AND(COUNTA(S36:U36)=1,U36&gt;0)),U36*O36*IF(N36=0,0,IF(N36="Количество в месяц",1,IF(N36="Количество в неделю",4.285,IF(N36="Количество в день",IF(VLOOKUP(D36,'2Рабочее время'!$A$1:$C$50,2,FALSE)&gt;0,VLOOKUP(D36,'2Рабочее время'!$A$1:$C$50,2,FALSE),VLOOKUP(D36,'2Рабочее время'!$A$1:$C$50,3,FALSE)))))),0))))))</f>
        <v>0</v>
      </c>
      <c r="W36" s="120">
        <v>1</v>
      </c>
      <c r="X36" s="13">
        <f>IF(N36=0,0,IF(N36="Количество в месяц",L36*O36*W36,IF(N36="Количество в неделю",L36*O36*W36*4.285,IF(N36="Количество в день",L36*O36*W36*IF(VLOOKUP(D36,'2Рабочее время'!$A$1:$C$50,2,FALSE)&gt;0,VLOOKUP(D36,'2Рабочее время'!$A$1:$C$50,2,FALSE),VLOOKUP(D36,'2Рабочее время'!$A$1:$C$50,3,FALSE))))))+V36</f>
        <v>204</v>
      </c>
      <c r="Y36" s="13">
        <f t="shared" si="3"/>
        <v>3.4</v>
      </c>
    </row>
    <row r="37" spans="1:25" ht="54" customHeight="1" x14ac:dyDescent="0.25">
      <c r="A37" s="23">
        <v>36</v>
      </c>
      <c r="B37" s="23"/>
      <c r="C37" s="23"/>
      <c r="D37" s="78"/>
      <c r="E37" s="126"/>
      <c r="F37" s="127">
        <v>1</v>
      </c>
      <c r="G37" s="128"/>
      <c r="H37" s="128"/>
      <c r="I37" s="128"/>
      <c r="J37" s="78"/>
      <c r="K37" s="102"/>
      <c r="L37" s="13">
        <f t="shared" si="1"/>
        <v>0</v>
      </c>
      <c r="M37" s="130"/>
      <c r="N37" s="78"/>
      <c r="O37" s="78"/>
      <c r="P37" s="75"/>
      <c r="Q37" s="63"/>
      <c r="R37" s="63"/>
      <c r="S37" s="77"/>
      <c r="T37" s="63"/>
      <c r="U37" s="63"/>
      <c r="V37" s="71">
        <f>IF(OR(COUNTA(P37:R37)&gt;=2,COUNTA(S37:U37)&gt;=2),"ошибка",(IF((AND(COUNTA(P37:R37)=1,P37&gt;0)),P37*60*VLOOKUP(D37,'2Рабочее время'!$A:$L,4,FALSE)*((IF(VLOOKUP(D37,'2Рабочее время'!$A$1:$C$50,2,FALSE)&gt;0,VLOOKUP(D37,'2Рабочее время'!$A$1:$C$50,2,FALSE),VLOOKUP(D37,'2Рабочее время'!$A$1:$C$50,3,FALSE)))),IF((AND(COUNTA(P37:R37)=1,Q37&gt;0)),Q37*((IF(VLOOKUP(D37,'2Рабочее время'!$A$1:$C$50,2,FALSE)&gt;0,VLOOKUP(D37,'2Рабочее время'!$A$1:$C$50,2,FALSE),VLOOKUP(D37,'2Рабочее время'!$A$1:$C$50,3,FALSE)))),IF((AND(COUNTA(P37:R37)=1,R37&gt;0)),R37*O37*IF(N37=0,0,IF(N37="Количество в месяц",1,IF(N37="Количество в неделю",4.285,IF(N37="Количество в день",IF(VLOOKUP(D37,'2Рабочее время'!$A$1:$C$50,2,FALSE)&gt;0,VLOOKUP(D37,'2Рабочее время'!$A$1:$C$50,2,FALSE),VLOOKUP(D37,'2Рабочее время'!$A$1:$C$50,3,FALSE)))))),0)))+IF((AND(COUNTA(S37:U37)=1,S37&gt;0)),S37*60*VLOOKUP(D37,'2Рабочее время'!$A:$L,4,FALSE)*((IF(VLOOKUP(D37,'2Рабочее время'!$A$1:$C$50,2,FALSE)&gt;0,VLOOKUP(D37,'2Рабочее время'!$A$1:$C$50,2,FALSE),VLOOKUP(D37,'2Рабочее время'!$A$1:$C$50,3,FALSE)))),IF((AND(COUNTA(P37:R37)=1,Q37&gt;0)),Q37*((IF(VLOOKUP(D37,'2Рабочее время'!$A$1:$C$50,2,FALSE)&gt;0,VLOOKUP(D37,'2Рабочее время'!$A$1:$C$50,2,FALSE),VLOOKUP(D37,'2Рабочее время'!$A$1:$C$50,3,FALSE)))),IF((AND(COUNTA(S37:U37)=1,T37&gt;0)),T37*((IF(VLOOKUP(D37,'2Рабочее время'!$A$1:$C$50,2,FALSE)&gt;0,VLOOKUP(D37,'2Рабочее время'!$A$1:$C$50,2,FALSE),VLOOKUP(D37,'2Рабочее время'!$A$1:$C$50,3,FALSE)))),IF((AND(COUNTA(S37:U37)=1,U37&gt;0)),U37*O37*IF(N37=0,0,IF(N37="Количество в месяц",1,IF(N37="Количество в неделю",4.285,IF(N37="Количество в день",IF(VLOOKUP(D37,'2Рабочее время'!$A$1:$C$50,2,FALSE)&gt;0,VLOOKUP(D37,'2Рабочее время'!$A$1:$C$50,2,FALSE),VLOOKUP(D37,'2Рабочее время'!$A$1:$C$50,3,FALSE)))))),0))))))</f>
        <v>0</v>
      </c>
      <c r="W37" s="33">
        <v>1</v>
      </c>
      <c r="X37" s="13">
        <f>IF(N37=0,0,IF(N37="Количество в месяц",L37*O37*W37,IF(N37="Количество в неделю",L37*O37*W37*4.285,IF(N37="Количество в день",L37*O37*W37*IF(VLOOKUP(D37,'2Рабочее время'!$A$1:$C$50,2,FALSE)&gt;0,VLOOKUP(D37,'2Рабочее время'!$A$1:$C$50,2,FALSE),VLOOKUP(D37,'2Рабочее время'!$A$1:$C$50,3,FALSE))))))+V37</f>
        <v>0</v>
      </c>
      <c r="Y37" s="13">
        <f t="shared" si="3"/>
        <v>0</v>
      </c>
    </row>
    <row r="38" spans="1:25" ht="54" customHeight="1" x14ac:dyDescent="0.25">
      <c r="A38" s="23">
        <v>37</v>
      </c>
      <c r="B38" s="23"/>
      <c r="C38" s="23"/>
      <c r="D38" s="78"/>
      <c r="E38" s="126"/>
      <c r="F38" s="127">
        <v>1</v>
      </c>
      <c r="G38" s="128"/>
      <c r="H38" s="128"/>
      <c r="I38" s="128"/>
      <c r="J38" s="78"/>
      <c r="K38" s="102"/>
      <c r="L38" s="13">
        <f t="shared" si="1"/>
        <v>0</v>
      </c>
      <c r="M38" s="130"/>
      <c r="N38" s="78"/>
      <c r="O38" s="78"/>
      <c r="P38" s="75"/>
      <c r="Q38" s="63"/>
      <c r="R38" s="63"/>
      <c r="S38" s="77"/>
      <c r="T38" s="63"/>
      <c r="U38" s="63"/>
      <c r="V38" s="71">
        <f>IF(OR(COUNTA(P38:R38)&gt;=2,COUNTA(S38:U38)&gt;=2),"ошибка",(IF((AND(COUNTA(P38:R38)=1,P38&gt;0)),P38*60*VLOOKUP(D38,'2Рабочее время'!$A:$L,4,FALSE)*((IF(VLOOKUP(D38,'2Рабочее время'!$A$1:$C$50,2,FALSE)&gt;0,VLOOKUP(D38,'2Рабочее время'!$A$1:$C$50,2,FALSE),VLOOKUP(D38,'2Рабочее время'!$A$1:$C$50,3,FALSE)))),IF((AND(COUNTA(P38:R38)=1,Q38&gt;0)),Q38*((IF(VLOOKUP(D38,'2Рабочее время'!$A$1:$C$50,2,FALSE)&gt;0,VLOOKUP(D38,'2Рабочее время'!$A$1:$C$50,2,FALSE),VLOOKUP(D38,'2Рабочее время'!$A$1:$C$50,3,FALSE)))),IF((AND(COUNTA(P38:R38)=1,R38&gt;0)),R38*O38*IF(N38=0,0,IF(N38="Количество в месяц",1,IF(N38="Количество в неделю",4.285,IF(N38="Количество в день",IF(VLOOKUP(D38,'2Рабочее время'!$A$1:$C$50,2,FALSE)&gt;0,VLOOKUP(D38,'2Рабочее время'!$A$1:$C$50,2,FALSE),VLOOKUP(D38,'2Рабочее время'!$A$1:$C$50,3,FALSE)))))),0)))+IF((AND(COUNTA(S38:U38)=1,S38&gt;0)),S38*60*VLOOKUP(D38,'2Рабочее время'!$A:$L,4,FALSE)*((IF(VLOOKUP(D38,'2Рабочее время'!$A$1:$C$50,2,FALSE)&gt;0,VLOOKUP(D38,'2Рабочее время'!$A$1:$C$50,2,FALSE),VLOOKUP(D38,'2Рабочее время'!$A$1:$C$50,3,FALSE)))),IF((AND(COUNTA(P38:R38)=1,Q38&gt;0)),Q38*((IF(VLOOKUP(D38,'2Рабочее время'!$A$1:$C$50,2,FALSE)&gt;0,VLOOKUP(D38,'2Рабочее время'!$A$1:$C$50,2,FALSE),VLOOKUP(D38,'2Рабочее время'!$A$1:$C$50,3,FALSE)))),IF((AND(COUNTA(S38:U38)=1,T38&gt;0)),T38*((IF(VLOOKUP(D38,'2Рабочее время'!$A$1:$C$50,2,FALSE)&gt;0,VLOOKUP(D38,'2Рабочее время'!$A$1:$C$50,2,FALSE),VLOOKUP(D38,'2Рабочее время'!$A$1:$C$50,3,FALSE)))),IF((AND(COUNTA(S38:U38)=1,U38&gt;0)),U38*O38*IF(N38=0,0,IF(N38="Количество в месяц",1,IF(N38="Количество в неделю",4.285,IF(N38="Количество в день",IF(VLOOKUP(D38,'2Рабочее время'!$A$1:$C$50,2,FALSE)&gt;0,VLOOKUP(D38,'2Рабочее время'!$A$1:$C$50,2,FALSE),VLOOKUP(D38,'2Рабочее время'!$A$1:$C$50,3,FALSE)))))),0))))))</f>
        <v>0</v>
      </c>
      <c r="W38" s="33">
        <v>1</v>
      </c>
      <c r="X38" s="13">
        <f>IF(N38=0,0,IF(N38="Количество в месяц",L38*O38*W38,IF(N38="Количество в неделю",L38*O38*W38*4.285,IF(N38="Количество в день",L38*O38*W38*IF(VLOOKUP(D38,'2Рабочее время'!$A$1:$C$50,2,FALSE)&gt;0,VLOOKUP(D38,'2Рабочее время'!$A$1:$C$50,2,FALSE),VLOOKUP(D38,'2Рабочее время'!$A$1:$C$50,3,FALSE))))))+V38</f>
        <v>0</v>
      </c>
      <c r="Y38" s="13">
        <f t="shared" si="3"/>
        <v>0</v>
      </c>
    </row>
    <row r="39" spans="1:25" ht="54" customHeight="1" x14ac:dyDescent="0.25">
      <c r="A39" s="23">
        <v>38</v>
      </c>
      <c r="B39" s="23"/>
      <c r="C39" s="23"/>
      <c r="D39" s="78"/>
      <c r="E39" s="126"/>
      <c r="F39" s="127">
        <v>1</v>
      </c>
      <c r="G39" s="128"/>
      <c r="H39" s="128"/>
      <c r="I39" s="128"/>
      <c r="J39" s="78"/>
      <c r="K39" s="102"/>
      <c r="L39" s="13">
        <f t="shared" si="1"/>
        <v>0</v>
      </c>
      <c r="M39" s="130"/>
      <c r="N39" s="78"/>
      <c r="O39" s="78"/>
      <c r="P39" s="75"/>
      <c r="Q39" s="63"/>
      <c r="R39" s="63"/>
      <c r="S39" s="77"/>
      <c r="T39" s="63"/>
      <c r="U39" s="63"/>
      <c r="V39" s="71">
        <f>IF(OR(COUNTA(P39:R39)&gt;=2,COUNTA(S39:U39)&gt;=2),"ошибка",(IF((AND(COUNTA(P39:R39)=1,P39&gt;0)),P39*60*VLOOKUP(D39,'2Рабочее время'!$A:$L,4,FALSE)*((IF(VLOOKUP(D39,'2Рабочее время'!$A$1:$C$50,2,FALSE)&gt;0,VLOOKUP(D39,'2Рабочее время'!$A$1:$C$50,2,FALSE),VLOOKUP(D39,'2Рабочее время'!$A$1:$C$50,3,FALSE)))),IF((AND(COUNTA(P39:R39)=1,Q39&gt;0)),Q39*((IF(VLOOKUP(D39,'2Рабочее время'!$A$1:$C$50,2,FALSE)&gt;0,VLOOKUP(D39,'2Рабочее время'!$A$1:$C$50,2,FALSE),VLOOKUP(D39,'2Рабочее время'!$A$1:$C$50,3,FALSE)))),IF((AND(COUNTA(P39:R39)=1,R39&gt;0)),R39*O39*IF(N39=0,0,IF(N39="Количество в месяц",1,IF(N39="Количество в неделю",4.285,IF(N39="Количество в день",IF(VLOOKUP(D39,'2Рабочее время'!$A$1:$C$50,2,FALSE)&gt;0,VLOOKUP(D39,'2Рабочее время'!$A$1:$C$50,2,FALSE),VLOOKUP(D39,'2Рабочее время'!$A$1:$C$50,3,FALSE)))))),0)))+IF((AND(COUNTA(S39:U39)=1,S39&gt;0)),S39*60*VLOOKUP(D39,'2Рабочее время'!$A:$L,4,FALSE)*((IF(VLOOKUP(D39,'2Рабочее время'!$A$1:$C$50,2,FALSE)&gt;0,VLOOKUP(D39,'2Рабочее время'!$A$1:$C$50,2,FALSE),VLOOKUP(D39,'2Рабочее время'!$A$1:$C$50,3,FALSE)))),IF((AND(COUNTA(P39:R39)=1,Q39&gt;0)),Q39*((IF(VLOOKUP(D39,'2Рабочее время'!$A$1:$C$50,2,FALSE)&gt;0,VLOOKUP(D39,'2Рабочее время'!$A$1:$C$50,2,FALSE),VLOOKUP(D39,'2Рабочее время'!$A$1:$C$50,3,FALSE)))),IF((AND(COUNTA(S39:U39)=1,T39&gt;0)),T39*((IF(VLOOKUP(D39,'2Рабочее время'!$A$1:$C$50,2,FALSE)&gt;0,VLOOKUP(D39,'2Рабочее время'!$A$1:$C$50,2,FALSE),VLOOKUP(D39,'2Рабочее время'!$A$1:$C$50,3,FALSE)))),IF((AND(COUNTA(S39:U39)=1,U39&gt;0)),U39*O39*IF(N39=0,0,IF(N39="Количество в месяц",1,IF(N39="Количество в неделю",4.285,IF(N39="Количество в день",IF(VLOOKUP(D39,'2Рабочее время'!$A$1:$C$50,2,FALSE)&gt;0,VLOOKUP(D39,'2Рабочее время'!$A$1:$C$50,2,FALSE),VLOOKUP(D39,'2Рабочее время'!$A$1:$C$50,3,FALSE)))))),0))))))</f>
        <v>0</v>
      </c>
      <c r="W39" s="33">
        <v>1</v>
      </c>
      <c r="X39" s="13">
        <f>IF(N39=0,0,IF(N39="Количество в месяц",L39*O39*W39,IF(N39="Количество в неделю",L39*O39*W39*4.285,IF(N39="Количество в день",L39*O39*W39*IF(VLOOKUP(D39,'2Рабочее время'!$A$1:$C$50,2,FALSE)&gt;0,VLOOKUP(D39,'2Рабочее время'!$A$1:$C$50,2,FALSE),VLOOKUP(D39,'2Рабочее время'!$A$1:$C$50,3,FALSE))))))+V39</f>
        <v>0</v>
      </c>
      <c r="Y39" s="13">
        <f t="shared" si="3"/>
        <v>0</v>
      </c>
    </row>
    <row r="40" spans="1:25" ht="54" customHeight="1" x14ac:dyDescent="0.25">
      <c r="A40" s="23">
        <v>39</v>
      </c>
      <c r="B40" s="23"/>
      <c r="C40" s="23"/>
      <c r="D40" s="78"/>
      <c r="E40" s="126"/>
      <c r="F40" s="127">
        <v>1</v>
      </c>
      <c r="G40" s="128"/>
      <c r="H40" s="128"/>
      <c r="I40" s="128"/>
      <c r="J40" s="78"/>
      <c r="K40" s="102"/>
      <c r="L40" s="13">
        <f t="shared" si="1"/>
        <v>0</v>
      </c>
      <c r="M40" s="130"/>
      <c r="N40" s="78"/>
      <c r="O40" s="78"/>
      <c r="P40" s="75"/>
      <c r="Q40" s="63"/>
      <c r="R40" s="63"/>
      <c r="S40" s="77"/>
      <c r="T40" s="63"/>
      <c r="U40" s="63"/>
      <c r="V40" s="71">
        <f>IF(OR(COUNTA(P40:R40)&gt;=2,COUNTA(S40:U40)&gt;=2),"ошибка",(IF((AND(COUNTA(P40:R40)=1,P40&gt;0)),P40*60*VLOOKUP(D40,'2Рабочее время'!$A:$L,4,FALSE)*((IF(VLOOKUP(D40,'2Рабочее время'!$A$1:$C$50,2,FALSE)&gt;0,VLOOKUP(D40,'2Рабочее время'!$A$1:$C$50,2,FALSE),VLOOKUP(D40,'2Рабочее время'!$A$1:$C$50,3,FALSE)))),IF((AND(COUNTA(P40:R40)=1,Q40&gt;0)),Q40*((IF(VLOOKUP(D40,'2Рабочее время'!$A$1:$C$50,2,FALSE)&gt;0,VLOOKUP(D40,'2Рабочее время'!$A$1:$C$50,2,FALSE),VLOOKUP(D40,'2Рабочее время'!$A$1:$C$50,3,FALSE)))),IF((AND(COUNTA(P40:R40)=1,R40&gt;0)),R40*O40*IF(N40=0,0,IF(N40="Количество в месяц",1,IF(N40="Количество в неделю",4.285,IF(N40="Количество в день",IF(VLOOKUP(D40,'2Рабочее время'!$A$1:$C$50,2,FALSE)&gt;0,VLOOKUP(D40,'2Рабочее время'!$A$1:$C$50,2,FALSE),VLOOKUP(D40,'2Рабочее время'!$A$1:$C$50,3,FALSE)))))),0)))+IF((AND(COUNTA(S40:U40)=1,S40&gt;0)),S40*60*VLOOKUP(D40,'2Рабочее время'!$A:$L,4,FALSE)*((IF(VLOOKUP(D40,'2Рабочее время'!$A$1:$C$50,2,FALSE)&gt;0,VLOOKUP(D40,'2Рабочее время'!$A$1:$C$50,2,FALSE),VLOOKUP(D40,'2Рабочее время'!$A$1:$C$50,3,FALSE)))),IF((AND(COUNTA(P40:R40)=1,Q40&gt;0)),Q40*((IF(VLOOKUP(D40,'2Рабочее время'!$A$1:$C$50,2,FALSE)&gt;0,VLOOKUP(D40,'2Рабочее время'!$A$1:$C$50,2,FALSE),VLOOKUP(D40,'2Рабочее время'!$A$1:$C$50,3,FALSE)))),IF((AND(COUNTA(S40:U40)=1,T40&gt;0)),T40*((IF(VLOOKUP(D40,'2Рабочее время'!$A$1:$C$50,2,FALSE)&gt;0,VLOOKUP(D40,'2Рабочее время'!$A$1:$C$50,2,FALSE),VLOOKUP(D40,'2Рабочее время'!$A$1:$C$50,3,FALSE)))),IF((AND(COUNTA(S40:U40)=1,U40&gt;0)),U40*O40*IF(N40=0,0,IF(N40="Количество в месяц",1,IF(N40="Количество в неделю",4.285,IF(N40="Количество в день",IF(VLOOKUP(D40,'2Рабочее время'!$A$1:$C$50,2,FALSE)&gt;0,VLOOKUP(D40,'2Рабочее время'!$A$1:$C$50,2,FALSE),VLOOKUP(D40,'2Рабочее время'!$A$1:$C$50,3,FALSE)))))),0))))))</f>
        <v>0</v>
      </c>
      <c r="W40" s="33">
        <v>1</v>
      </c>
      <c r="X40" s="13">
        <f>IF(N40=0,0,IF(N40="Количество в месяц",L40*O40*W40,IF(N40="Количество в неделю",L40*O40*W40*4.285,IF(N40="Количество в день",L40*O40*W40*IF(VLOOKUP(D40,'2Рабочее время'!$A$1:$C$50,2,FALSE)&gt;0,VLOOKUP(D40,'2Рабочее время'!$A$1:$C$50,2,FALSE),VLOOKUP(D40,'2Рабочее время'!$A$1:$C$50,3,FALSE))))))+V40</f>
        <v>0</v>
      </c>
      <c r="Y40" s="13">
        <f t="shared" si="3"/>
        <v>0</v>
      </c>
    </row>
    <row r="41" spans="1:25" ht="54" customHeight="1" x14ac:dyDescent="0.25">
      <c r="A41" s="23">
        <v>40</v>
      </c>
      <c r="B41" s="23"/>
      <c r="C41" s="23"/>
      <c r="D41" s="78"/>
      <c r="E41" s="126"/>
      <c r="F41" s="127">
        <v>1</v>
      </c>
      <c r="G41" s="106"/>
      <c r="H41" s="106"/>
      <c r="I41" s="106"/>
      <c r="J41" s="78"/>
      <c r="K41" s="102"/>
      <c r="L41" s="13">
        <f t="shared" si="1"/>
        <v>0</v>
      </c>
      <c r="M41" s="78"/>
      <c r="N41" s="78"/>
      <c r="O41" s="78"/>
      <c r="P41" s="75"/>
      <c r="Q41" s="63"/>
      <c r="R41" s="63"/>
      <c r="S41" s="77"/>
      <c r="T41" s="63"/>
      <c r="U41" s="63"/>
      <c r="V41" s="71">
        <f>IF(OR(COUNTA(P41:R41)&gt;=2,COUNTA(S41:U41)&gt;=2),"ошибка",(IF((AND(COUNTA(P41:R41)=1,P41&gt;0)),P41*60*VLOOKUP(D41,'2Рабочее время'!$A:$L,4,FALSE)*((IF(VLOOKUP(D41,'2Рабочее время'!$A$1:$C$50,2,FALSE)&gt;0,VLOOKUP(D41,'2Рабочее время'!$A$1:$C$50,2,FALSE),VLOOKUP(D41,'2Рабочее время'!$A$1:$C$50,3,FALSE)))),IF((AND(COUNTA(P41:R41)=1,Q41&gt;0)),Q41*((IF(VLOOKUP(D41,'2Рабочее время'!$A$1:$C$50,2,FALSE)&gt;0,VLOOKUP(D41,'2Рабочее время'!$A$1:$C$50,2,FALSE),VLOOKUP(D41,'2Рабочее время'!$A$1:$C$50,3,FALSE)))),IF((AND(COUNTA(P41:R41)=1,R41&gt;0)),R41*O41*IF(N41=0,0,IF(N41="Количество в месяц",1,IF(N41="Количество в неделю",4.285,IF(N41="Количество в день",IF(VLOOKUP(D41,'2Рабочее время'!$A$1:$C$50,2,FALSE)&gt;0,VLOOKUP(D41,'2Рабочее время'!$A$1:$C$50,2,FALSE),VLOOKUP(D41,'2Рабочее время'!$A$1:$C$50,3,FALSE)))))),0)))+IF((AND(COUNTA(S41:U41)=1,S41&gt;0)),S41*60*VLOOKUP(D41,'2Рабочее время'!$A:$L,4,FALSE)*((IF(VLOOKUP(D41,'2Рабочее время'!$A$1:$C$50,2,FALSE)&gt;0,VLOOKUP(D41,'2Рабочее время'!$A$1:$C$50,2,FALSE),VLOOKUP(D41,'2Рабочее время'!$A$1:$C$50,3,FALSE)))),IF((AND(COUNTA(P41:R41)=1,Q41&gt;0)),Q41*((IF(VLOOKUP(D41,'2Рабочее время'!$A$1:$C$50,2,FALSE)&gt;0,VLOOKUP(D41,'2Рабочее время'!$A$1:$C$50,2,FALSE),VLOOKUP(D41,'2Рабочее время'!$A$1:$C$50,3,FALSE)))),IF((AND(COUNTA(S41:U41)=1,T41&gt;0)),T41*((IF(VLOOKUP(D41,'2Рабочее время'!$A$1:$C$50,2,FALSE)&gt;0,VLOOKUP(D41,'2Рабочее время'!$A$1:$C$50,2,FALSE),VLOOKUP(D41,'2Рабочее время'!$A$1:$C$50,3,FALSE)))),IF((AND(COUNTA(S41:U41)=1,U41&gt;0)),U41*O41*IF(N41=0,0,IF(N41="Количество в месяц",1,IF(N41="Количество в неделю",4.285,IF(N41="Количество в день",IF(VLOOKUP(D41,'2Рабочее время'!$A$1:$C$50,2,FALSE)&gt;0,VLOOKUP(D41,'2Рабочее время'!$A$1:$C$50,2,FALSE),VLOOKUP(D41,'2Рабочее время'!$A$1:$C$50,3,FALSE)))))),0))))))</f>
        <v>0</v>
      </c>
      <c r="W41" s="33">
        <v>1</v>
      </c>
      <c r="X41" s="13">
        <f>IF(N41=0,0,IF(N41="Количество в месяц",L41*O41*W41,IF(N41="Количество в неделю",L41*O41*W41*4.285,IF(N41="Количество в день",L41*O41*W41*IF(VLOOKUP(D41,'2Рабочее время'!$A$1:$C$50,2,FALSE)&gt;0,VLOOKUP(D41,'2Рабочее время'!$A$1:$C$50,2,FALSE),VLOOKUP(D41,'2Рабочее время'!$A$1:$C$50,3,FALSE))))))+V41</f>
        <v>0</v>
      </c>
      <c r="Y41" s="13">
        <f t="shared" si="3"/>
        <v>0</v>
      </c>
    </row>
    <row r="42" spans="1:25" ht="54" customHeight="1" x14ac:dyDescent="0.25">
      <c r="A42" s="23">
        <v>41</v>
      </c>
      <c r="B42" s="23"/>
      <c r="C42" s="23"/>
      <c r="D42" s="78"/>
      <c r="E42" s="126"/>
      <c r="F42" s="127">
        <v>1</v>
      </c>
      <c r="G42" s="106"/>
      <c r="H42" s="106"/>
      <c r="I42" s="106"/>
      <c r="J42" s="78"/>
      <c r="K42" s="78"/>
      <c r="L42" s="13">
        <f t="shared" si="1"/>
        <v>0</v>
      </c>
      <c r="M42" s="78"/>
      <c r="N42" s="78"/>
      <c r="O42" s="78"/>
      <c r="P42" s="75"/>
      <c r="Q42" s="63"/>
      <c r="R42" s="63"/>
      <c r="S42" s="77"/>
      <c r="T42" s="63"/>
      <c r="U42" s="63"/>
      <c r="V42" s="71">
        <f>IF(OR(COUNTA(P42:R42)&gt;=2,COUNTA(S42:U42)&gt;=2),"ошибка",(IF((AND(COUNTA(P42:R42)=1,P42&gt;0)),P42*60*VLOOKUP(D42,'2Рабочее время'!$A:$L,4,FALSE)*((IF(VLOOKUP(D42,'2Рабочее время'!$A$1:$C$50,2,FALSE)&gt;0,VLOOKUP(D42,'2Рабочее время'!$A$1:$C$50,2,FALSE),VLOOKUP(D42,'2Рабочее время'!$A$1:$C$50,3,FALSE)))),IF((AND(COUNTA(P42:R42)=1,Q42&gt;0)),Q42*((IF(VLOOKUP(D42,'2Рабочее время'!$A$1:$C$50,2,FALSE)&gt;0,VLOOKUP(D42,'2Рабочее время'!$A$1:$C$50,2,FALSE),VLOOKUP(D42,'2Рабочее время'!$A$1:$C$50,3,FALSE)))),IF((AND(COUNTA(P42:R42)=1,R42&gt;0)),R42*O42*IF(N42=0,0,IF(N42="Количество в месяц",1,IF(N42="Количество в неделю",4.285,IF(N42="Количество в день",IF(VLOOKUP(D42,'2Рабочее время'!$A$1:$C$50,2,FALSE)&gt;0,VLOOKUP(D42,'2Рабочее время'!$A$1:$C$50,2,FALSE),VLOOKUP(D42,'2Рабочее время'!$A$1:$C$50,3,FALSE)))))),0)))+IF((AND(COUNTA(S42:U42)=1,S42&gt;0)),S42*60*VLOOKUP(D42,'2Рабочее время'!$A:$L,4,FALSE)*((IF(VLOOKUP(D42,'2Рабочее время'!$A$1:$C$50,2,FALSE)&gt;0,VLOOKUP(D42,'2Рабочее время'!$A$1:$C$50,2,FALSE),VLOOKUP(D42,'2Рабочее время'!$A$1:$C$50,3,FALSE)))),IF((AND(COUNTA(P42:R42)=1,Q42&gt;0)),Q42*((IF(VLOOKUP(D42,'2Рабочее время'!$A$1:$C$50,2,FALSE)&gt;0,VLOOKUP(D42,'2Рабочее время'!$A$1:$C$50,2,FALSE),VLOOKUP(D42,'2Рабочее время'!$A$1:$C$50,3,FALSE)))),IF((AND(COUNTA(S42:U42)=1,T42&gt;0)),T42*((IF(VLOOKUP(D42,'2Рабочее время'!$A$1:$C$50,2,FALSE)&gt;0,VLOOKUP(D42,'2Рабочее время'!$A$1:$C$50,2,FALSE),VLOOKUP(D42,'2Рабочее время'!$A$1:$C$50,3,FALSE)))),IF((AND(COUNTA(S42:U42)=1,U42&gt;0)),U42*O42*IF(N42=0,0,IF(N42="Количество в месяц",1,IF(N42="Количество в неделю",4.285,IF(N42="Количество в день",IF(VLOOKUP(D42,'2Рабочее время'!$A$1:$C$50,2,FALSE)&gt;0,VLOOKUP(D42,'2Рабочее время'!$A$1:$C$50,2,FALSE),VLOOKUP(D42,'2Рабочее время'!$A$1:$C$50,3,FALSE)))))),0))))))</f>
        <v>0</v>
      </c>
      <c r="W42" s="33">
        <v>1</v>
      </c>
      <c r="X42" s="13">
        <f>IF(N42=0,0,IF(N42="Количество в месяц",L42*O42*W42,IF(N42="Количество в неделю",L42*O42*W42*4.285,IF(N42="Количество в день",L42*O42*W42*IF(VLOOKUP(D42,'2Рабочее время'!$A$1:$C$50,2,FALSE)&gt;0,VLOOKUP(D42,'2Рабочее время'!$A$1:$C$50,2,FALSE),VLOOKUP(D42,'2Рабочее время'!$A$1:$C$50,3,FALSE))))))+V42</f>
        <v>0</v>
      </c>
      <c r="Y42" s="13">
        <f t="shared" si="3"/>
        <v>0</v>
      </c>
    </row>
    <row r="43" spans="1:25" ht="54" customHeight="1" x14ac:dyDescent="0.25">
      <c r="A43" s="23">
        <v>42</v>
      </c>
      <c r="B43" s="23"/>
      <c r="C43" s="23"/>
      <c r="D43" s="78"/>
      <c r="E43" s="126"/>
      <c r="F43" s="129">
        <v>1</v>
      </c>
      <c r="G43" s="74"/>
      <c r="H43" s="73"/>
      <c r="I43" s="73"/>
      <c r="J43" s="78"/>
      <c r="K43" s="78"/>
      <c r="L43" s="13">
        <f t="shared" si="1"/>
        <v>0</v>
      </c>
      <c r="M43" s="78"/>
      <c r="N43" s="78"/>
      <c r="O43" s="78"/>
      <c r="P43" s="75"/>
      <c r="Q43" s="63"/>
      <c r="R43" s="63"/>
      <c r="S43" s="77"/>
      <c r="T43" s="63"/>
      <c r="U43" s="63"/>
      <c r="V43" s="71">
        <f>IF(OR(COUNTA(P43:R43)&gt;=2,COUNTA(S43:U43)&gt;=2),"ошибка",(IF((AND(COUNTA(P43:R43)=1,P43&gt;0)),P43*60*VLOOKUP(D43,'2Рабочее время'!$A:$L,4,FALSE)*((IF(VLOOKUP(D43,'2Рабочее время'!$A$1:$C$50,2,FALSE)&gt;0,VLOOKUP(D43,'2Рабочее время'!$A$1:$C$50,2,FALSE),VLOOKUP(D43,'2Рабочее время'!$A$1:$C$50,3,FALSE)))),IF((AND(COUNTA(P43:R43)=1,Q43&gt;0)),Q43*((IF(VLOOKUP(D43,'2Рабочее время'!$A$1:$C$50,2,FALSE)&gt;0,VLOOKUP(D43,'2Рабочее время'!$A$1:$C$50,2,FALSE),VLOOKUP(D43,'2Рабочее время'!$A$1:$C$50,3,FALSE)))),IF((AND(COUNTA(P43:R43)=1,R43&gt;0)),R43*O43*IF(N43=0,0,IF(N43="Количество в месяц",1,IF(N43="Количество в неделю",4.285,IF(N43="Количество в день",IF(VLOOKUP(D43,'2Рабочее время'!$A$1:$C$50,2,FALSE)&gt;0,VLOOKUP(D43,'2Рабочее время'!$A$1:$C$50,2,FALSE),VLOOKUP(D43,'2Рабочее время'!$A$1:$C$50,3,FALSE)))))),0)))+IF((AND(COUNTA(S43:U43)=1,S43&gt;0)),S43*60*VLOOKUP(D43,'2Рабочее время'!$A:$L,4,FALSE)*((IF(VLOOKUP(D43,'2Рабочее время'!$A$1:$C$50,2,FALSE)&gt;0,VLOOKUP(D43,'2Рабочее время'!$A$1:$C$50,2,FALSE),VLOOKUP(D43,'2Рабочее время'!$A$1:$C$50,3,FALSE)))),IF((AND(COUNTA(P43:R43)=1,Q43&gt;0)),Q43*((IF(VLOOKUP(D43,'2Рабочее время'!$A$1:$C$50,2,FALSE)&gt;0,VLOOKUP(D43,'2Рабочее время'!$A$1:$C$50,2,FALSE),VLOOKUP(D43,'2Рабочее время'!$A$1:$C$50,3,FALSE)))),IF((AND(COUNTA(S43:U43)=1,T43&gt;0)),T43*((IF(VLOOKUP(D43,'2Рабочее время'!$A$1:$C$50,2,FALSE)&gt;0,VLOOKUP(D43,'2Рабочее время'!$A$1:$C$50,2,FALSE),VLOOKUP(D43,'2Рабочее время'!$A$1:$C$50,3,FALSE)))),IF((AND(COUNTA(S43:U43)=1,U43&gt;0)),U43*O43*IF(N43=0,0,IF(N43="Количество в месяц",1,IF(N43="Количество в неделю",4.285,IF(N43="Количество в день",IF(VLOOKUP(D43,'2Рабочее время'!$A$1:$C$50,2,FALSE)&gt;0,VLOOKUP(D43,'2Рабочее время'!$A$1:$C$50,2,FALSE),VLOOKUP(D43,'2Рабочее время'!$A$1:$C$50,3,FALSE)))))),0))))))</f>
        <v>0</v>
      </c>
      <c r="W43" s="33">
        <v>1</v>
      </c>
      <c r="X43" s="13">
        <f>IF(N43=0,0,IF(N43="Количество в месяц",L43*O43*W43,IF(N43="Количество в неделю",L43*O43*W43*4.285,IF(N43="Количество в день",L43*O43*W43*IF(VLOOKUP(D43,'2Рабочее время'!$A$1:$C$50,2,FALSE)&gt;0,VLOOKUP(D43,'2Рабочее время'!$A$1:$C$50,2,FALSE),VLOOKUP(D43,'2Рабочее время'!$A$1:$C$50,3,FALSE))))))+V43</f>
        <v>0</v>
      </c>
      <c r="Y43" s="13">
        <f t="shared" si="3"/>
        <v>0</v>
      </c>
    </row>
    <row r="44" spans="1:25" ht="54" customHeight="1" x14ac:dyDescent="0.25">
      <c r="A44" s="23">
        <v>43</v>
      </c>
      <c r="B44" s="23"/>
      <c r="C44" s="23"/>
      <c r="D44" s="78"/>
      <c r="E44" s="126"/>
      <c r="F44" s="129">
        <v>1</v>
      </c>
      <c r="G44" s="74"/>
      <c r="H44" s="73"/>
      <c r="I44" s="73"/>
      <c r="J44" s="78"/>
      <c r="K44" s="78"/>
      <c r="L44" s="13">
        <f t="shared" si="1"/>
        <v>0</v>
      </c>
      <c r="M44" s="78"/>
      <c r="N44" s="78"/>
      <c r="O44" s="78"/>
      <c r="P44" s="75"/>
      <c r="Q44" s="63"/>
      <c r="R44" s="63"/>
      <c r="S44" s="77"/>
      <c r="T44" s="63"/>
      <c r="U44" s="63"/>
      <c r="V44" s="71">
        <f>IF(OR(COUNTA(P44:R44)&gt;=2,COUNTA(S44:U44)&gt;=2),"ошибка",(IF((AND(COUNTA(P44:R44)=1,P44&gt;0)),P44*60*VLOOKUP(D44,'2Рабочее время'!$A:$L,4,FALSE)*((IF(VLOOKUP(D44,'2Рабочее время'!$A$1:$C$50,2,FALSE)&gt;0,VLOOKUP(D44,'2Рабочее время'!$A$1:$C$50,2,FALSE),VLOOKUP(D44,'2Рабочее время'!$A$1:$C$50,3,FALSE)))),IF((AND(COUNTA(P44:R44)=1,Q44&gt;0)),Q44*((IF(VLOOKUP(D44,'2Рабочее время'!$A$1:$C$50,2,FALSE)&gt;0,VLOOKUP(D44,'2Рабочее время'!$A$1:$C$50,2,FALSE),VLOOKUP(D44,'2Рабочее время'!$A$1:$C$50,3,FALSE)))),IF((AND(COUNTA(P44:R44)=1,R44&gt;0)),R44*O44*IF(N44=0,0,IF(N44="Количество в месяц",1,IF(N44="Количество в неделю",4.285,IF(N44="Количество в день",IF(VLOOKUP(D44,'2Рабочее время'!$A$1:$C$50,2,FALSE)&gt;0,VLOOKUP(D44,'2Рабочее время'!$A$1:$C$50,2,FALSE),VLOOKUP(D44,'2Рабочее время'!$A$1:$C$50,3,FALSE)))))),0)))+IF((AND(COUNTA(S44:U44)=1,S44&gt;0)),S44*60*VLOOKUP(D44,'2Рабочее время'!$A:$L,4,FALSE)*((IF(VLOOKUP(D44,'2Рабочее время'!$A$1:$C$50,2,FALSE)&gt;0,VLOOKUP(D44,'2Рабочее время'!$A$1:$C$50,2,FALSE),VLOOKUP(D44,'2Рабочее время'!$A$1:$C$50,3,FALSE)))),IF((AND(COUNTA(P44:R44)=1,Q44&gt;0)),Q44*((IF(VLOOKUP(D44,'2Рабочее время'!$A$1:$C$50,2,FALSE)&gt;0,VLOOKUP(D44,'2Рабочее время'!$A$1:$C$50,2,FALSE),VLOOKUP(D44,'2Рабочее время'!$A$1:$C$50,3,FALSE)))),IF((AND(COUNTA(S44:U44)=1,T44&gt;0)),T44*((IF(VLOOKUP(D44,'2Рабочее время'!$A$1:$C$50,2,FALSE)&gt;0,VLOOKUP(D44,'2Рабочее время'!$A$1:$C$50,2,FALSE),VLOOKUP(D44,'2Рабочее время'!$A$1:$C$50,3,FALSE)))),IF((AND(COUNTA(S44:U44)=1,U44&gt;0)),U44*O44*IF(N44=0,0,IF(N44="Количество в месяц",1,IF(N44="Количество в неделю",4.285,IF(N44="Количество в день",IF(VLOOKUP(D44,'2Рабочее время'!$A$1:$C$50,2,FALSE)&gt;0,VLOOKUP(D44,'2Рабочее время'!$A$1:$C$50,2,FALSE),VLOOKUP(D44,'2Рабочее время'!$A$1:$C$50,3,FALSE)))))),0))))))</f>
        <v>0</v>
      </c>
      <c r="W44" s="33">
        <v>1</v>
      </c>
      <c r="X44" s="13">
        <f>IF(N44=0,0,IF(N44="Количество в месяц",L44*O44*W44,IF(N44="Количество в неделю",L44*O44*W44*4.285,IF(N44="Количество в день",L44*O44*W44*IF(VLOOKUP(D44,'2Рабочее время'!$A$1:$C$50,2,FALSE)&gt;0,VLOOKUP(D44,'2Рабочее время'!$A$1:$C$50,2,FALSE),VLOOKUP(D44,'2Рабочее время'!$A$1:$C$50,3,FALSE))))))+V44</f>
        <v>0</v>
      </c>
      <c r="Y44" s="13">
        <f t="shared" si="3"/>
        <v>0</v>
      </c>
    </row>
    <row r="45" spans="1:25" ht="54" customHeight="1" x14ac:dyDescent="0.25">
      <c r="A45" s="23">
        <v>44</v>
      </c>
      <c r="B45" s="23"/>
      <c r="C45" s="23"/>
      <c r="D45" s="78"/>
      <c r="E45" s="126"/>
      <c r="F45" s="129">
        <v>1</v>
      </c>
      <c r="G45" s="74"/>
      <c r="H45" s="73"/>
      <c r="I45" s="73"/>
      <c r="J45" s="78"/>
      <c r="K45" s="78"/>
      <c r="L45" s="13">
        <f t="shared" si="1"/>
        <v>0</v>
      </c>
      <c r="M45" s="78"/>
      <c r="N45" s="78"/>
      <c r="O45" s="78"/>
      <c r="P45" s="75"/>
      <c r="Q45" s="63"/>
      <c r="R45" s="63"/>
      <c r="S45" s="77"/>
      <c r="T45" s="63"/>
      <c r="U45" s="63"/>
      <c r="V45" s="71">
        <f>IF(OR(COUNTA(P45:R45)&gt;=2,COUNTA(S45:U45)&gt;=2),"ошибка",(IF((AND(COUNTA(P45:R45)=1,P45&gt;0)),P45*60*VLOOKUP(D45,'2Рабочее время'!$A:$L,4,FALSE)*((IF(VLOOKUP(D45,'2Рабочее время'!$A$1:$C$50,2,FALSE)&gt;0,VLOOKUP(D45,'2Рабочее время'!$A$1:$C$50,2,FALSE),VLOOKUP(D45,'2Рабочее время'!$A$1:$C$50,3,FALSE)))),IF((AND(COUNTA(P45:R45)=1,Q45&gt;0)),Q45*((IF(VLOOKUP(D45,'2Рабочее время'!$A$1:$C$50,2,FALSE)&gt;0,VLOOKUP(D45,'2Рабочее время'!$A$1:$C$50,2,FALSE),VLOOKUP(D45,'2Рабочее время'!$A$1:$C$50,3,FALSE)))),IF((AND(COUNTA(P45:R45)=1,R45&gt;0)),R45*O45*IF(N45=0,0,IF(N45="Количество в месяц",1,IF(N45="Количество в неделю",4.285,IF(N45="Количество в день",IF(VLOOKUP(D45,'2Рабочее время'!$A$1:$C$50,2,FALSE)&gt;0,VLOOKUP(D45,'2Рабочее время'!$A$1:$C$50,2,FALSE),VLOOKUP(D45,'2Рабочее время'!$A$1:$C$50,3,FALSE)))))),0)))+IF((AND(COUNTA(S45:U45)=1,S45&gt;0)),S45*60*VLOOKUP(D45,'2Рабочее время'!$A:$L,4,FALSE)*((IF(VLOOKUP(D45,'2Рабочее время'!$A$1:$C$50,2,FALSE)&gt;0,VLOOKUP(D45,'2Рабочее время'!$A$1:$C$50,2,FALSE),VLOOKUP(D45,'2Рабочее время'!$A$1:$C$50,3,FALSE)))),IF((AND(COUNTA(P45:R45)=1,Q45&gt;0)),Q45*((IF(VLOOKUP(D45,'2Рабочее время'!$A$1:$C$50,2,FALSE)&gt;0,VLOOKUP(D45,'2Рабочее время'!$A$1:$C$50,2,FALSE),VLOOKUP(D45,'2Рабочее время'!$A$1:$C$50,3,FALSE)))),IF((AND(COUNTA(S45:U45)=1,T45&gt;0)),T45*((IF(VLOOKUP(D45,'2Рабочее время'!$A$1:$C$50,2,FALSE)&gt;0,VLOOKUP(D45,'2Рабочее время'!$A$1:$C$50,2,FALSE),VLOOKUP(D45,'2Рабочее время'!$A$1:$C$50,3,FALSE)))),IF((AND(COUNTA(S45:U45)=1,U45&gt;0)),U45*O45*IF(N45=0,0,IF(N45="Количество в месяц",1,IF(N45="Количество в неделю",4.285,IF(N45="Количество в день",IF(VLOOKUP(D45,'2Рабочее время'!$A$1:$C$50,2,FALSE)&gt;0,VLOOKUP(D45,'2Рабочее время'!$A$1:$C$50,2,FALSE),VLOOKUP(D45,'2Рабочее время'!$A$1:$C$50,3,FALSE)))))),0))))))</f>
        <v>0</v>
      </c>
      <c r="W45" s="33">
        <v>1</v>
      </c>
      <c r="X45" s="13">
        <f>IF(N45=0,0,IF(N45="Количество в месяц",L45*O45*W45,IF(N45="Количество в неделю",L45*O45*W45*4.285,IF(N45="Количество в день",L45*O45*W45*IF(VLOOKUP(D45,'2Рабочее время'!$A$1:$C$50,2,FALSE)&gt;0,VLOOKUP(D45,'2Рабочее время'!$A$1:$C$50,2,FALSE),VLOOKUP(D45,'2Рабочее время'!$A$1:$C$50,3,FALSE))))))+V45</f>
        <v>0</v>
      </c>
      <c r="Y45" s="13">
        <f t="shared" si="3"/>
        <v>0</v>
      </c>
    </row>
    <row r="46" spans="1:25" ht="54" customHeight="1" x14ac:dyDescent="0.25">
      <c r="A46" s="23">
        <v>45</v>
      </c>
      <c r="B46" s="23"/>
      <c r="C46" s="23"/>
      <c r="D46" s="78"/>
      <c r="E46" s="126"/>
      <c r="F46" s="129">
        <v>1</v>
      </c>
      <c r="G46" s="74"/>
      <c r="H46" s="73"/>
      <c r="I46" s="73"/>
      <c r="J46" s="78"/>
      <c r="K46" s="78"/>
      <c r="L46" s="13">
        <f t="shared" si="1"/>
        <v>0</v>
      </c>
      <c r="M46" s="78"/>
      <c r="N46" s="78"/>
      <c r="O46" s="78"/>
      <c r="P46" s="75"/>
      <c r="Q46" s="63"/>
      <c r="R46" s="63"/>
      <c r="S46" s="77"/>
      <c r="T46" s="63"/>
      <c r="U46" s="63"/>
      <c r="V46" s="71">
        <f>IF(OR(COUNTA(P46:R46)&gt;=2,COUNTA(S46:U46)&gt;=2),"ошибка",(IF((AND(COUNTA(P46:R46)=1,P46&gt;0)),P46*60*VLOOKUP(D46,'2Рабочее время'!$A:$L,4,FALSE)*((IF(VLOOKUP(D46,'2Рабочее время'!$A$1:$C$50,2,FALSE)&gt;0,VLOOKUP(D46,'2Рабочее время'!$A$1:$C$50,2,FALSE),VLOOKUP(D46,'2Рабочее время'!$A$1:$C$50,3,FALSE)))),IF((AND(COUNTA(P46:R46)=1,Q46&gt;0)),Q46*((IF(VLOOKUP(D46,'2Рабочее время'!$A$1:$C$50,2,FALSE)&gt;0,VLOOKUP(D46,'2Рабочее время'!$A$1:$C$50,2,FALSE),VLOOKUP(D46,'2Рабочее время'!$A$1:$C$50,3,FALSE)))),IF((AND(COUNTA(P46:R46)=1,R46&gt;0)),R46*O46*IF(N46=0,0,IF(N46="Количество в месяц",1,IF(N46="Количество в неделю",4.285,IF(N46="Количество в день",IF(VLOOKUP(D46,'2Рабочее время'!$A$1:$C$50,2,FALSE)&gt;0,VLOOKUP(D46,'2Рабочее время'!$A$1:$C$50,2,FALSE),VLOOKUP(D46,'2Рабочее время'!$A$1:$C$50,3,FALSE)))))),0)))+IF((AND(COUNTA(S46:U46)=1,S46&gt;0)),S46*60*VLOOKUP(D46,'2Рабочее время'!$A:$L,4,FALSE)*((IF(VLOOKUP(D46,'2Рабочее время'!$A$1:$C$50,2,FALSE)&gt;0,VLOOKUP(D46,'2Рабочее время'!$A$1:$C$50,2,FALSE),VLOOKUP(D46,'2Рабочее время'!$A$1:$C$50,3,FALSE)))),IF((AND(COUNTA(P46:R46)=1,Q46&gt;0)),Q46*((IF(VLOOKUP(D46,'2Рабочее время'!$A$1:$C$50,2,FALSE)&gt;0,VLOOKUP(D46,'2Рабочее время'!$A$1:$C$50,2,FALSE),VLOOKUP(D46,'2Рабочее время'!$A$1:$C$50,3,FALSE)))),IF((AND(COUNTA(S46:U46)=1,T46&gt;0)),T46*((IF(VLOOKUP(D46,'2Рабочее время'!$A$1:$C$50,2,FALSE)&gt;0,VLOOKUP(D46,'2Рабочее время'!$A$1:$C$50,2,FALSE),VLOOKUP(D46,'2Рабочее время'!$A$1:$C$50,3,FALSE)))),IF((AND(COUNTA(S46:U46)=1,U46&gt;0)),U46*O46*IF(N46=0,0,IF(N46="Количество в месяц",1,IF(N46="Количество в неделю",4.285,IF(N46="Количество в день",IF(VLOOKUP(D46,'2Рабочее время'!$A$1:$C$50,2,FALSE)&gt;0,VLOOKUP(D46,'2Рабочее время'!$A$1:$C$50,2,FALSE),VLOOKUP(D46,'2Рабочее время'!$A$1:$C$50,3,FALSE)))))),0))))))</f>
        <v>0</v>
      </c>
      <c r="W46" s="33">
        <v>1</v>
      </c>
      <c r="X46" s="13">
        <f>IF(N46=0,0,IF(N46="Количество в месяц",L46*O46*W46,IF(N46="Количество в неделю",L46*O46*W46*4.285,IF(N46="Количество в день",L46*O46*W46*IF(VLOOKUP(D46,'2Рабочее время'!$A$1:$C$50,2,FALSE)&gt;0,VLOOKUP(D46,'2Рабочее время'!$A$1:$C$50,2,FALSE),VLOOKUP(D46,'2Рабочее время'!$A$1:$C$50,3,FALSE))))))+V46</f>
        <v>0</v>
      </c>
      <c r="Y46" s="13">
        <f t="shared" si="3"/>
        <v>0</v>
      </c>
    </row>
    <row r="47" spans="1:25" ht="54" customHeight="1" x14ac:dyDescent="0.25">
      <c r="A47" s="23">
        <v>46</v>
      </c>
      <c r="B47" s="23"/>
      <c r="C47" s="23"/>
      <c r="D47" s="78"/>
      <c r="E47" s="126"/>
      <c r="F47" s="129">
        <v>1</v>
      </c>
      <c r="G47" s="74"/>
      <c r="H47" s="73"/>
      <c r="I47" s="73"/>
      <c r="J47" s="78"/>
      <c r="K47" s="78"/>
      <c r="L47" s="13">
        <f t="shared" si="1"/>
        <v>0</v>
      </c>
      <c r="M47" s="78"/>
      <c r="N47" s="78"/>
      <c r="O47" s="78"/>
      <c r="P47" s="75"/>
      <c r="Q47" s="63"/>
      <c r="R47" s="63"/>
      <c r="S47" s="77"/>
      <c r="T47" s="63"/>
      <c r="U47" s="63"/>
      <c r="V47" s="71">
        <f>IF(OR(COUNTA(P47:R47)&gt;=2,COUNTA(S47:U47)&gt;=2),"ошибка",(IF((AND(COUNTA(P47:R47)=1,P47&gt;0)),P47*60*VLOOKUP(D47,'2Рабочее время'!$A:$L,4,FALSE)*((IF(VLOOKUP(D47,'2Рабочее время'!$A$1:$C$50,2,FALSE)&gt;0,VLOOKUP(D47,'2Рабочее время'!$A$1:$C$50,2,FALSE),VLOOKUP(D47,'2Рабочее время'!$A$1:$C$50,3,FALSE)))),IF((AND(COUNTA(P47:R47)=1,Q47&gt;0)),Q47*((IF(VLOOKUP(D47,'2Рабочее время'!$A$1:$C$50,2,FALSE)&gt;0,VLOOKUP(D47,'2Рабочее время'!$A$1:$C$50,2,FALSE),VLOOKUP(D47,'2Рабочее время'!$A$1:$C$50,3,FALSE)))),IF((AND(COUNTA(P47:R47)=1,R47&gt;0)),R47*O47*IF(N47=0,0,IF(N47="Количество в месяц",1,IF(N47="Количество в неделю",4.285,IF(N47="Количество в день",IF(VLOOKUP(D47,'2Рабочее время'!$A$1:$C$50,2,FALSE)&gt;0,VLOOKUP(D47,'2Рабочее время'!$A$1:$C$50,2,FALSE),VLOOKUP(D47,'2Рабочее время'!$A$1:$C$50,3,FALSE)))))),0)))+IF((AND(COUNTA(S47:U47)=1,S47&gt;0)),S47*60*VLOOKUP(D47,'2Рабочее время'!$A:$L,4,FALSE)*((IF(VLOOKUP(D47,'2Рабочее время'!$A$1:$C$50,2,FALSE)&gt;0,VLOOKUP(D47,'2Рабочее время'!$A$1:$C$50,2,FALSE),VLOOKUP(D47,'2Рабочее время'!$A$1:$C$50,3,FALSE)))),IF((AND(COUNTA(P47:R47)=1,Q47&gt;0)),Q47*((IF(VLOOKUP(D47,'2Рабочее время'!$A$1:$C$50,2,FALSE)&gt;0,VLOOKUP(D47,'2Рабочее время'!$A$1:$C$50,2,FALSE),VLOOKUP(D47,'2Рабочее время'!$A$1:$C$50,3,FALSE)))),IF((AND(COUNTA(S47:U47)=1,T47&gt;0)),T47*((IF(VLOOKUP(D47,'2Рабочее время'!$A$1:$C$50,2,FALSE)&gt;0,VLOOKUP(D47,'2Рабочее время'!$A$1:$C$50,2,FALSE),VLOOKUP(D47,'2Рабочее время'!$A$1:$C$50,3,FALSE)))),IF((AND(COUNTA(S47:U47)=1,U47&gt;0)),U47*O47*IF(N47=0,0,IF(N47="Количество в месяц",1,IF(N47="Количество в неделю",4.285,IF(N47="Количество в день",IF(VLOOKUP(D47,'2Рабочее время'!$A$1:$C$50,2,FALSE)&gt;0,VLOOKUP(D47,'2Рабочее время'!$A$1:$C$50,2,FALSE),VLOOKUP(D47,'2Рабочее время'!$A$1:$C$50,3,FALSE)))))),0))))))</f>
        <v>0</v>
      </c>
      <c r="W47" s="33">
        <v>1</v>
      </c>
      <c r="X47" s="13">
        <f>IF(N47=0,0,IF(N47="Количество в месяц",L47*O47*W47,IF(N47="Количество в неделю",L47*O47*W47*4.285,IF(N47="Количество в день",L47*O47*W47*IF(VLOOKUP(D47,'2Рабочее время'!$A$1:$C$50,2,FALSE)&gt;0,VLOOKUP(D47,'2Рабочее время'!$A$1:$C$50,2,FALSE),VLOOKUP(D47,'2Рабочее время'!$A$1:$C$50,3,FALSE))))))+V47</f>
        <v>0</v>
      </c>
      <c r="Y47" s="13">
        <f t="shared" si="3"/>
        <v>0</v>
      </c>
    </row>
    <row r="48" spans="1:25" ht="54" customHeight="1" x14ac:dyDescent="0.25">
      <c r="A48" s="23">
        <v>47</v>
      </c>
      <c r="B48" s="23"/>
      <c r="C48" s="23"/>
      <c r="D48" s="78"/>
      <c r="E48" s="126"/>
      <c r="F48" s="129">
        <v>1</v>
      </c>
      <c r="G48" s="74"/>
      <c r="H48" s="73"/>
      <c r="I48" s="73"/>
      <c r="J48" s="78"/>
      <c r="K48" s="78"/>
      <c r="L48" s="13">
        <f t="shared" si="1"/>
        <v>0</v>
      </c>
      <c r="M48" s="78"/>
      <c r="N48" s="78"/>
      <c r="O48" s="78"/>
      <c r="P48" s="75"/>
      <c r="Q48" s="63"/>
      <c r="R48" s="63"/>
      <c r="S48" s="77"/>
      <c r="T48" s="63"/>
      <c r="U48" s="63"/>
      <c r="V48" s="71">
        <f>IF(OR(COUNTA(P48:R48)&gt;=2,COUNTA(S48:U48)&gt;=2),"ошибка",(IF((AND(COUNTA(P48:R48)=1,P48&gt;0)),P48*60*VLOOKUP(D48,'2Рабочее время'!$A:$L,4,FALSE)*((IF(VLOOKUP(D48,'2Рабочее время'!$A$1:$C$50,2,FALSE)&gt;0,VLOOKUP(D48,'2Рабочее время'!$A$1:$C$50,2,FALSE),VLOOKUP(D48,'2Рабочее время'!$A$1:$C$50,3,FALSE)))),IF((AND(COUNTA(P48:R48)=1,Q48&gt;0)),Q48*((IF(VLOOKUP(D48,'2Рабочее время'!$A$1:$C$50,2,FALSE)&gt;0,VLOOKUP(D48,'2Рабочее время'!$A$1:$C$50,2,FALSE),VLOOKUP(D48,'2Рабочее время'!$A$1:$C$50,3,FALSE)))),IF((AND(COUNTA(P48:R48)=1,R48&gt;0)),R48*O48*IF(N48=0,0,IF(N48="Количество в месяц",1,IF(N48="Количество в неделю",4.285,IF(N48="Количество в день",IF(VLOOKUP(D48,'2Рабочее время'!$A$1:$C$50,2,FALSE)&gt;0,VLOOKUP(D48,'2Рабочее время'!$A$1:$C$50,2,FALSE),VLOOKUP(D48,'2Рабочее время'!$A$1:$C$50,3,FALSE)))))),0)))+IF((AND(COUNTA(S48:U48)=1,S48&gt;0)),S48*60*VLOOKUP(D48,'2Рабочее время'!$A:$L,4,FALSE)*((IF(VLOOKUP(D48,'2Рабочее время'!$A$1:$C$50,2,FALSE)&gt;0,VLOOKUP(D48,'2Рабочее время'!$A$1:$C$50,2,FALSE),VLOOKUP(D48,'2Рабочее время'!$A$1:$C$50,3,FALSE)))),IF((AND(COUNTA(P48:R48)=1,Q48&gt;0)),Q48*((IF(VLOOKUP(D48,'2Рабочее время'!$A$1:$C$50,2,FALSE)&gt;0,VLOOKUP(D48,'2Рабочее время'!$A$1:$C$50,2,FALSE),VLOOKUP(D48,'2Рабочее время'!$A$1:$C$50,3,FALSE)))),IF((AND(COUNTA(S48:U48)=1,T48&gt;0)),T48*((IF(VLOOKUP(D48,'2Рабочее время'!$A$1:$C$50,2,FALSE)&gt;0,VLOOKUP(D48,'2Рабочее время'!$A$1:$C$50,2,FALSE),VLOOKUP(D48,'2Рабочее время'!$A$1:$C$50,3,FALSE)))),IF((AND(COUNTA(S48:U48)=1,U48&gt;0)),U48*O48*IF(N48=0,0,IF(N48="Количество в месяц",1,IF(N48="Количество в неделю",4.285,IF(N48="Количество в день",IF(VLOOKUP(D48,'2Рабочее время'!$A$1:$C$50,2,FALSE)&gt;0,VLOOKUP(D48,'2Рабочее время'!$A$1:$C$50,2,FALSE),VLOOKUP(D48,'2Рабочее время'!$A$1:$C$50,3,FALSE)))))),0))))))</f>
        <v>0</v>
      </c>
      <c r="W48" s="33">
        <v>1</v>
      </c>
      <c r="X48" s="13">
        <f>IF(N48=0,0,IF(N48="Количество в месяц",L48*O48*W48,IF(N48="Количество в неделю",L48*O48*W48*4.285,IF(N48="Количество в день",L48*O48*W48*IF(VLOOKUP(D48,'2Рабочее время'!$A$1:$C$50,2,FALSE)&gt;0,VLOOKUP(D48,'2Рабочее время'!$A$1:$C$50,2,FALSE),VLOOKUP(D48,'2Рабочее время'!$A$1:$C$50,3,FALSE))))))+V48</f>
        <v>0</v>
      </c>
      <c r="Y48" s="13">
        <f t="shared" si="3"/>
        <v>0</v>
      </c>
    </row>
    <row r="49" spans="1:25" ht="54" customHeight="1" x14ac:dyDescent="0.25">
      <c r="A49" s="23">
        <v>48</v>
      </c>
      <c r="B49" s="23"/>
      <c r="C49" s="23"/>
      <c r="D49" s="78"/>
      <c r="E49" s="126"/>
      <c r="F49" s="129">
        <v>1</v>
      </c>
      <c r="G49" s="74"/>
      <c r="H49" s="73"/>
      <c r="I49" s="73"/>
      <c r="J49" s="78"/>
      <c r="K49" s="78"/>
      <c r="L49" s="13">
        <f t="shared" si="1"/>
        <v>0</v>
      </c>
      <c r="M49" s="78"/>
      <c r="N49" s="78"/>
      <c r="O49" s="78"/>
      <c r="P49" s="75"/>
      <c r="Q49" s="63"/>
      <c r="R49" s="63"/>
      <c r="S49" s="77"/>
      <c r="T49" s="63"/>
      <c r="U49" s="63"/>
      <c r="V49" s="71">
        <f>IF(OR(COUNTA(P49:R49)&gt;=2,COUNTA(S49:U49)&gt;=2),"ошибка",(IF((AND(COUNTA(P49:R49)=1,P49&gt;0)),P49*60*VLOOKUP(D49,'2Рабочее время'!$A:$L,4,FALSE)*((IF(VLOOKUP(D49,'2Рабочее время'!$A$1:$C$50,2,FALSE)&gt;0,VLOOKUP(D49,'2Рабочее время'!$A$1:$C$50,2,FALSE),VLOOKUP(D49,'2Рабочее время'!$A$1:$C$50,3,FALSE)))),IF((AND(COUNTA(P49:R49)=1,Q49&gt;0)),Q49*((IF(VLOOKUP(D49,'2Рабочее время'!$A$1:$C$50,2,FALSE)&gt;0,VLOOKUP(D49,'2Рабочее время'!$A$1:$C$50,2,FALSE),VLOOKUP(D49,'2Рабочее время'!$A$1:$C$50,3,FALSE)))),IF((AND(COUNTA(P49:R49)=1,R49&gt;0)),R49*O49*IF(N49=0,0,IF(N49="Количество в месяц",1,IF(N49="Количество в неделю",4.285,IF(N49="Количество в день",IF(VLOOKUP(D49,'2Рабочее время'!$A$1:$C$50,2,FALSE)&gt;0,VLOOKUP(D49,'2Рабочее время'!$A$1:$C$50,2,FALSE),VLOOKUP(D49,'2Рабочее время'!$A$1:$C$50,3,FALSE)))))),0)))+IF((AND(COUNTA(S49:U49)=1,S49&gt;0)),S49*60*VLOOKUP(D49,'2Рабочее время'!$A:$L,4,FALSE)*((IF(VLOOKUP(D49,'2Рабочее время'!$A$1:$C$50,2,FALSE)&gt;0,VLOOKUP(D49,'2Рабочее время'!$A$1:$C$50,2,FALSE),VLOOKUP(D49,'2Рабочее время'!$A$1:$C$50,3,FALSE)))),IF((AND(COUNTA(P49:R49)=1,Q49&gt;0)),Q49*((IF(VLOOKUP(D49,'2Рабочее время'!$A$1:$C$50,2,FALSE)&gt;0,VLOOKUP(D49,'2Рабочее время'!$A$1:$C$50,2,FALSE),VLOOKUP(D49,'2Рабочее время'!$A$1:$C$50,3,FALSE)))),IF((AND(COUNTA(S49:U49)=1,T49&gt;0)),T49*((IF(VLOOKUP(D49,'2Рабочее время'!$A$1:$C$50,2,FALSE)&gt;0,VLOOKUP(D49,'2Рабочее время'!$A$1:$C$50,2,FALSE),VLOOKUP(D49,'2Рабочее время'!$A$1:$C$50,3,FALSE)))),IF((AND(COUNTA(S49:U49)=1,U49&gt;0)),U49*O49*IF(N49=0,0,IF(N49="Количество в месяц",1,IF(N49="Количество в неделю",4.285,IF(N49="Количество в день",IF(VLOOKUP(D49,'2Рабочее время'!$A$1:$C$50,2,FALSE)&gt;0,VLOOKUP(D49,'2Рабочее время'!$A$1:$C$50,2,FALSE),VLOOKUP(D49,'2Рабочее время'!$A$1:$C$50,3,FALSE)))))),0))))))</f>
        <v>0</v>
      </c>
      <c r="W49" s="33">
        <v>1</v>
      </c>
      <c r="X49" s="13">
        <f>IF(N49=0,0,IF(N49="Количество в месяц",L49*O49*W49,IF(N49="Количество в неделю",L49*O49*W49*4.285,IF(N49="Количество в день",L49*O49*W49*IF(VLOOKUP(D49,'2Рабочее время'!$A$1:$C$50,2,FALSE)&gt;0,VLOOKUP(D49,'2Рабочее время'!$A$1:$C$50,2,FALSE),VLOOKUP(D49,'2Рабочее время'!$A$1:$C$50,3,FALSE))))))+V49</f>
        <v>0</v>
      </c>
      <c r="Y49" s="13">
        <f t="shared" si="3"/>
        <v>0</v>
      </c>
    </row>
    <row r="50" spans="1:25" ht="54" customHeight="1" x14ac:dyDescent="0.25">
      <c r="A50" s="23">
        <v>49</v>
      </c>
      <c r="B50" s="23"/>
      <c r="C50" s="23"/>
      <c r="D50" s="78"/>
      <c r="E50" s="126"/>
      <c r="F50" s="129">
        <v>1</v>
      </c>
      <c r="G50" s="74"/>
      <c r="H50" s="73"/>
      <c r="I50" s="73"/>
      <c r="J50" s="78"/>
      <c r="K50" s="78"/>
      <c r="L50" s="13">
        <f t="shared" si="1"/>
        <v>0</v>
      </c>
      <c r="M50" s="78"/>
      <c r="N50" s="78"/>
      <c r="O50" s="78"/>
      <c r="P50" s="75"/>
      <c r="Q50" s="63"/>
      <c r="R50" s="63"/>
      <c r="S50" s="77"/>
      <c r="T50" s="63"/>
      <c r="U50" s="63"/>
      <c r="V50" s="71">
        <f>IF(OR(COUNTA(P50:R50)&gt;=2,COUNTA(S50:U50)&gt;=2),"ошибка",(IF((AND(COUNTA(P50:R50)=1,P50&gt;0)),P50*60*VLOOKUP(D50,'2Рабочее время'!$A:$L,4,FALSE)*((IF(VLOOKUP(D50,'2Рабочее время'!$A$1:$C$50,2,FALSE)&gt;0,VLOOKUP(D50,'2Рабочее время'!$A$1:$C$50,2,FALSE),VLOOKUP(D50,'2Рабочее время'!$A$1:$C$50,3,FALSE)))),IF((AND(COUNTA(P50:R50)=1,Q50&gt;0)),Q50*((IF(VLOOKUP(D50,'2Рабочее время'!$A$1:$C$50,2,FALSE)&gt;0,VLOOKUP(D50,'2Рабочее время'!$A$1:$C$50,2,FALSE),VLOOKUP(D50,'2Рабочее время'!$A$1:$C$50,3,FALSE)))),IF((AND(COUNTA(P50:R50)=1,R50&gt;0)),R50*O50*IF(N50=0,0,IF(N50="Количество в месяц",1,IF(N50="Количество в неделю",4.285,IF(N50="Количество в день",IF(VLOOKUP(D50,'2Рабочее время'!$A$1:$C$50,2,FALSE)&gt;0,VLOOKUP(D50,'2Рабочее время'!$A$1:$C$50,2,FALSE),VLOOKUP(D50,'2Рабочее время'!$A$1:$C$50,3,FALSE)))))),0)))+IF((AND(COUNTA(S50:U50)=1,S50&gt;0)),S50*60*VLOOKUP(D50,'2Рабочее время'!$A:$L,4,FALSE)*((IF(VLOOKUP(D50,'2Рабочее время'!$A$1:$C$50,2,FALSE)&gt;0,VLOOKUP(D50,'2Рабочее время'!$A$1:$C$50,2,FALSE),VLOOKUP(D50,'2Рабочее время'!$A$1:$C$50,3,FALSE)))),IF((AND(COUNTA(P50:R50)=1,Q50&gt;0)),Q50*((IF(VLOOKUP(D50,'2Рабочее время'!$A$1:$C$50,2,FALSE)&gt;0,VLOOKUP(D50,'2Рабочее время'!$A$1:$C$50,2,FALSE),VLOOKUP(D50,'2Рабочее время'!$A$1:$C$50,3,FALSE)))),IF((AND(COUNTA(S50:U50)=1,T50&gt;0)),T50*((IF(VLOOKUP(D50,'2Рабочее время'!$A$1:$C$50,2,FALSE)&gt;0,VLOOKUP(D50,'2Рабочее время'!$A$1:$C$50,2,FALSE),VLOOKUP(D50,'2Рабочее время'!$A$1:$C$50,3,FALSE)))),IF((AND(COUNTA(S50:U50)=1,U50&gt;0)),U50*O50*IF(N50=0,0,IF(N50="Количество в месяц",1,IF(N50="Количество в неделю",4.285,IF(N50="Количество в день",IF(VLOOKUP(D50,'2Рабочее время'!$A$1:$C$50,2,FALSE)&gt;0,VLOOKUP(D50,'2Рабочее время'!$A$1:$C$50,2,FALSE),VLOOKUP(D50,'2Рабочее время'!$A$1:$C$50,3,FALSE)))))),0))))))</f>
        <v>0</v>
      </c>
      <c r="W50" s="33">
        <v>1</v>
      </c>
      <c r="X50" s="13">
        <f>IF(N50=0,0,IF(N50="Количество в месяц",L50*O50*W50,IF(N50="Количество в неделю",L50*O50*W50*4.285,IF(N50="Количество в день",L50*O50*W50*IF(VLOOKUP(D50,'2Рабочее время'!$A$1:$C$50,2,FALSE)&gt;0,VLOOKUP(D50,'2Рабочее время'!$A$1:$C$50,2,FALSE),VLOOKUP(D50,'2Рабочее время'!$A$1:$C$50,3,FALSE))))))+V50</f>
        <v>0</v>
      </c>
      <c r="Y50" s="13">
        <f t="shared" si="3"/>
        <v>0</v>
      </c>
    </row>
    <row r="51" spans="1:25" ht="54" customHeight="1" x14ac:dyDescent="0.25">
      <c r="A51" s="23">
        <v>50</v>
      </c>
      <c r="B51" s="23"/>
      <c r="C51" s="23"/>
      <c r="D51" s="78"/>
      <c r="E51" s="126"/>
      <c r="F51" s="129">
        <v>1</v>
      </c>
      <c r="G51" s="74"/>
      <c r="H51" s="73"/>
      <c r="I51" s="73"/>
      <c r="J51" s="78"/>
      <c r="K51" s="78"/>
      <c r="L51" s="13">
        <f t="shared" si="1"/>
        <v>0</v>
      </c>
      <c r="M51" s="78"/>
      <c r="N51" s="78"/>
      <c r="O51" s="78"/>
      <c r="P51" s="75"/>
      <c r="Q51" s="63"/>
      <c r="R51" s="63"/>
      <c r="S51" s="77"/>
      <c r="T51" s="63"/>
      <c r="U51" s="63"/>
      <c r="V51" s="71">
        <f>IF(OR(COUNTA(P51:R51)&gt;=2,COUNTA(S51:U51)&gt;=2),"ошибка",(IF((AND(COUNTA(P51:R51)=1,P51&gt;0)),P51*60*VLOOKUP(D51,'2Рабочее время'!$A:$L,4,FALSE)*((IF(VLOOKUP(D51,'2Рабочее время'!$A$1:$C$50,2,FALSE)&gt;0,VLOOKUP(D51,'2Рабочее время'!$A$1:$C$50,2,FALSE),VLOOKUP(D51,'2Рабочее время'!$A$1:$C$50,3,FALSE)))),IF((AND(COUNTA(P51:R51)=1,Q51&gt;0)),Q51*((IF(VLOOKUP(D51,'2Рабочее время'!$A$1:$C$50,2,FALSE)&gt;0,VLOOKUP(D51,'2Рабочее время'!$A$1:$C$50,2,FALSE),VLOOKUP(D51,'2Рабочее время'!$A$1:$C$50,3,FALSE)))),IF((AND(COUNTA(P51:R51)=1,R51&gt;0)),R51*O51*IF(N51=0,0,IF(N51="Количество в месяц",1,IF(N51="Количество в неделю",4.285,IF(N51="Количество в день",IF(VLOOKUP(D51,'2Рабочее время'!$A$1:$C$50,2,FALSE)&gt;0,VLOOKUP(D51,'2Рабочее время'!$A$1:$C$50,2,FALSE),VLOOKUP(D51,'2Рабочее время'!$A$1:$C$50,3,FALSE)))))),0)))+IF((AND(COUNTA(S51:U51)=1,S51&gt;0)),S51*60*VLOOKUP(D51,'2Рабочее время'!$A:$L,4,FALSE)*((IF(VLOOKUP(D51,'2Рабочее время'!$A$1:$C$50,2,FALSE)&gt;0,VLOOKUP(D51,'2Рабочее время'!$A$1:$C$50,2,FALSE),VLOOKUP(D51,'2Рабочее время'!$A$1:$C$50,3,FALSE)))),IF((AND(COUNTA(P51:R51)=1,Q51&gt;0)),Q51*((IF(VLOOKUP(D51,'2Рабочее время'!$A$1:$C$50,2,FALSE)&gt;0,VLOOKUP(D51,'2Рабочее время'!$A$1:$C$50,2,FALSE),VLOOKUP(D51,'2Рабочее время'!$A$1:$C$50,3,FALSE)))),IF((AND(COUNTA(S51:U51)=1,T51&gt;0)),T51*((IF(VLOOKUP(D51,'2Рабочее время'!$A$1:$C$50,2,FALSE)&gt;0,VLOOKUP(D51,'2Рабочее время'!$A$1:$C$50,2,FALSE),VLOOKUP(D51,'2Рабочее время'!$A$1:$C$50,3,FALSE)))),IF((AND(COUNTA(S51:U51)=1,U51&gt;0)),U51*O51*IF(N51=0,0,IF(N51="Количество в месяц",1,IF(N51="Количество в неделю",4.285,IF(N51="Количество в день",IF(VLOOKUP(D51,'2Рабочее время'!$A$1:$C$50,2,FALSE)&gt;0,VLOOKUP(D51,'2Рабочее время'!$A$1:$C$50,2,FALSE),VLOOKUP(D51,'2Рабочее время'!$A$1:$C$50,3,FALSE)))))),0))))))</f>
        <v>0</v>
      </c>
      <c r="W51" s="33">
        <v>1</v>
      </c>
      <c r="X51" s="13">
        <f>IF(N51=0,0,IF(N51="Количество в месяц",L51*O51*W51,IF(N51="Количество в неделю",L51*O51*W51*4.285,IF(N51="Количество в день",L51*O51*W51*IF(VLOOKUP(D51,'2Рабочее время'!$A$1:$C$50,2,FALSE)&gt;0,VLOOKUP(D51,'2Рабочее время'!$A$1:$C$50,2,FALSE),VLOOKUP(D51,'2Рабочее время'!$A$1:$C$50,3,FALSE))))))+V51</f>
        <v>0</v>
      </c>
      <c r="Y51" s="13">
        <f t="shared" si="3"/>
        <v>0</v>
      </c>
    </row>
    <row r="52" spans="1:25" ht="54" customHeight="1" x14ac:dyDescent="0.25">
      <c r="A52" s="23">
        <v>51</v>
      </c>
      <c r="B52" s="23"/>
      <c r="C52" s="23"/>
      <c r="D52" s="78"/>
      <c r="E52" s="126"/>
      <c r="F52" s="129">
        <v>1</v>
      </c>
      <c r="G52" s="74"/>
      <c r="H52" s="73"/>
      <c r="I52" s="73"/>
      <c r="J52" s="78"/>
      <c r="K52" s="78"/>
      <c r="L52" s="13">
        <f t="shared" si="1"/>
        <v>0</v>
      </c>
      <c r="M52" s="78"/>
      <c r="N52" s="78"/>
      <c r="O52" s="78"/>
      <c r="P52" s="75"/>
      <c r="Q52" s="63"/>
      <c r="R52" s="63"/>
      <c r="S52" s="77"/>
      <c r="T52" s="63"/>
      <c r="U52" s="63"/>
      <c r="V52" s="71">
        <f>IF(OR(COUNTA(P52:R52)&gt;=2,COUNTA(S52:U52)&gt;=2),"ошибка",(IF((AND(COUNTA(P52:R52)=1,P52&gt;0)),P52*60*VLOOKUP(D52,'2Рабочее время'!$A:$L,4,FALSE)*((IF(VLOOKUP(D52,'2Рабочее время'!$A$1:$C$50,2,FALSE)&gt;0,VLOOKUP(D52,'2Рабочее время'!$A$1:$C$50,2,FALSE),VLOOKUP(D52,'2Рабочее время'!$A$1:$C$50,3,FALSE)))),IF((AND(COUNTA(P52:R52)=1,Q52&gt;0)),Q52*((IF(VLOOKUP(D52,'2Рабочее время'!$A$1:$C$50,2,FALSE)&gt;0,VLOOKUP(D52,'2Рабочее время'!$A$1:$C$50,2,FALSE),VLOOKUP(D52,'2Рабочее время'!$A$1:$C$50,3,FALSE)))),IF((AND(COUNTA(P52:R52)=1,R52&gt;0)),R52*O52*IF(N52=0,0,IF(N52="Количество в месяц",1,IF(N52="Количество в неделю",4.285,IF(N52="Количество в день",IF(VLOOKUP(D52,'2Рабочее время'!$A$1:$C$50,2,FALSE)&gt;0,VLOOKUP(D52,'2Рабочее время'!$A$1:$C$50,2,FALSE),VLOOKUP(D52,'2Рабочее время'!$A$1:$C$50,3,FALSE)))))),0)))+IF((AND(COUNTA(S52:U52)=1,S52&gt;0)),S52*60*VLOOKUP(D52,'2Рабочее время'!$A:$L,4,FALSE)*((IF(VLOOKUP(D52,'2Рабочее время'!$A$1:$C$50,2,FALSE)&gt;0,VLOOKUP(D52,'2Рабочее время'!$A$1:$C$50,2,FALSE),VLOOKUP(D52,'2Рабочее время'!$A$1:$C$50,3,FALSE)))),IF((AND(COUNTA(P52:R52)=1,Q52&gt;0)),Q52*((IF(VLOOKUP(D52,'2Рабочее время'!$A$1:$C$50,2,FALSE)&gt;0,VLOOKUP(D52,'2Рабочее время'!$A$1:$C$50,2,FALSE),VLOOKUP(D52,'2Рабочее время'!$A$1:$C$50,3,FALSE)))),IF((AND(COUNTA(S52:U52)=1,T52&gt;0)),T52*((IF(VLOOKUP(D52,'2Рабочее время'!$A$1:$C$50,2,FALSE)&gt;0,VLOOKUP(D52,'2Рабочее время'!$A$1:$C$50,2,FALSE),VLOOKUP(D52,'2Рабочее время'!$A$1:$C$50,3,FALSE)))),IF((AND(COUNTA(S52:U52)=1,U52&gt;0)),U52*O52*IF(N52=0,0,IF(N52="Количество в месяц",1,IF(N52="Количество в неделю",4.285,IF(N52="Количество в день",IF(VLOOKUP(D52,'2Рабочее время'!$A$1:$C$50,2,FALSE)&gt;0,VLOOKUP(D52,'2Рабочее время'!$A$1:$C$50,2,FALSE),VLOOKUP(D52,'2Рабочее время'!$A$1:$C$50,3,FALSE)))))),0))))))</f>
        <v>0</v>
      </c>
      <c r="W52" s="33">
        <v>1</v>
      </c>
      <c r="X52" s="13">
        <f>IF(N52=0,0,IF(N52="Количество в месяц",L52*O52*W52,IF(N52="Количество в неделю",L52*O52*W52*4.285,IF(N52="Количество в день",L52*O52*W52*IF(VLOOKUP(D52,'2Рабочее время'!$A$1:$C$50,2,FALSE)&gt;0,VLOOKUP(D52,'2Рабочее время'!$A$1:$C$50,2,FALSE),VLOOKUP(D52,'2Рабочее время'!$A$1:$C$50,3,FALSE))))))+V52</f>
        <v>0</v>
      </c>
      <c r="Y52" s="13">
        <f t="shared" si="3"/>
        <v>0</v>
      </c>
    </row>
    <row r="53" spans="1:25" ht="54" customHeight="1" x14ac:dyDescent="0.25">
      <c r="A53" s="23">
        <v>52</v>
      </c>
      <c r="B53" s="23"/>
      <c r="C53" s="23"/>
      <c r="D53" s="78"/>
      <c r="E53" s="126"/>
      <c r="F53" s="129">
        <v>1</v>
      </c>
      <c r="G53" s="74"/>
      <c r="H53" s="73"/>
      <c r="I53" s="73"/>
      <c r="J53" s="78"/>
      <c r="K53" s="78"/>
      <c r="L53" s="13">
        <f t="shared" si="1"/>
        <v>0</v>
      </c>
      <c r="M53" s="78"/>
      <c r="N53" s="78"/>
      <c r="O53" s="78"/>
      <c r="P53" s="75"/>
      <c r="Q53" s="63"/>
      <c r="R53" s="63"/>
      <c r="S53" s="77"/>
      <c r="T53" s="63"/>
      <c r="U53" s="63"/>
      <c r="V53" s="71">
        <f>IF(OR(COUNTA(P53:R53)&gt;=2,COUNTA(S53:U53)&gt;=2),"ошибка",(IF((AND(COUNTA(P53:R53)=1,P53&gt;0)),P53*60*VLOOKUP(D53,'2Рабочее время'!$A:$L,4,FALSE)*((IF(VLOOKUP(D53,'2Рабочее время'!$A$1:$C$50,2,FALSE)&gt;0,VLOOKUP(D53,'2Рабочее время'!$A$1:$C$50,2,FALSE),VLOOKUP(D53,'2Рабочее время'!$A$1:$C$50,3,FALSE)))),IF((AND(COUNTA(P53:R53)=1,Q53&gt;0)),Q53*((IF(VLOOKUP(D53,'2Рабочее время'!$A$1:$C$50,2,FALSE)&gt;0,VLOOKUP(D53,'2Рабочее время'!$A$1:$C$50,2,FALSE),VLOOKUP(D53,'2Рабочее время'!$A$1:$C$50,3,FALSE)))),IF((AND(COUNTA(P53:R53)=1,R53&gt;0)),R53*O53*IF(N53=0,0,IF(N53="Количество в месяц",1,IF(N53="Количество в неделю",4.285,IF(N53="Количество в день",IF(VLOOKUP(D53,'2Рабочее время'!$A$1:$C$50,2,FALSE)&gt;0,VLOOKUP(D53,'2Рабочее время'!$A$1:$C$50,2,FALSE),VLOOKUP(D53,'2Рабочее время'!$A$1:$C$50,3,FALSE)))))),0)))+IF((AND(COUNTA(S53:U53)=1,S53&gt;0)),S53*60*VLOOKUP(D53,'2Рабочее время'!$A:$L,4,FALSE)*((IF(VLOOKUP(D53,'2Рабочее время'!$A$1:$C$50,2,FALSE)&gt;0,VLOOKUP(D53,'2Рабочее время'!$A$1:$C$50,2,FALSE),VLOOKUP(D53,'2Рабочее время'!$A$1:$C$50,3,FALSE)))),IF((AND(COUNTA(P53:R53)=1,Q53&gt;0)),Q53*((IF(VLOOKUP(D53,'2Рабочее время'!$A$1:$C$50,2,FALSE)&gt;0,VLOOKUP(D53,'2Рабочее время'!$A$1:$C$50,2,FALSE),VLOOKUP(D53,'2Рабочее время'!$A$1:$C$50,3,FALSE)))),IF((AND(COUNTA(S53:U53)=1,T53&gt;0)),T53*((IF(VLOOKUP(D53,'2Рабочее время'!$A$1:$C$50,2,FALSE)&gt;0,VLOOKUP(D53,'2Рабочее время'!$A$1:$C$50,2,FALSE),VLOOKUP(D53,'2Рабочее время'!$A$1:$C$50,3,FALSE)))),IF((AND(COUNTA(S53:U53)=1,U53&gt;0)),U53*O53*IF(N53=0,0,IF(N53="Количество в месяц",1,IF(N53="Количество в неделю",4.285,IF(N53="Количество в день",IF(VLOOKUP(D53,'2Рабочее время'!$A$1:$C$50,2,FALSE)&gt;0,VLOOKUP(D53,'2Рабочее время'!$A$1:$C$50,2,FALSE),VLOOKUP(D53,'2Рабочее время'!$A$1:$C$50,3,FALSE)))))),0))))))</f>
        <v>0</v>
      </c>
      <c r="W53" s="33">
        <v>1</v>
      </c>
      <c r="X53" s="13">
        <f>IF(N53=0,0,IF(N53="Количество в месяц",L53*O53*W53,IF(N53="Количество в неделю",L53*O53*W53*4.285,IF(N53="Количество в день",L53*O53*W53*IF(VLOOKUP(D53,'2Рабочее время'!$A$1:$C$50,2,FALSE)&gt;0,VLOOKUP(D53,'2Рабочее время'!$A$1:$C$50,2,FALSE),VLOOKUP(D53,'2Рабочее время'!$A$1:$C$50,3,FALSE))))))+V53</f>
        <v>0</v>
      </c>
      <c r="Y53" s="13">
        <f t="shared" si="3"/>
        <v>0</v>
      </c>
    </row>
    <row r="54" spans="1:25" ht="54" customHeight="1" x14ac:dyDescent="0.25">
      <c r="A54" s="23">
        <v>53</v>
      </c>
      <c r="B54" s="23"/>
      <c r="C54" s="23"/>
      <c r="D54" s="78"/>
      <c r="E54" s="126"/>
      <c r="F54" s="129">
        <v>1</v>
      </c>
      <c r="G54" s="74"/>
      <c r="H54" s="73"/>
      <c r="I54" s="73"/>
      <c r="J54" s="78"/>
      <c r="K54" s="78"/>
      <c r="L54" s="13">
        <f t="shared" si="1"/>
        <v>0</v>
      </c>
      <c r="M54" s="78"/>
      <c r="N54" s="78"/>
      <c r="O54" s="78"/>
      <c r="P54" s="75"/>
      <c r="Q54" s="63"/>
      <c r="R54" s="63"/>
      <c r="S54" s="77"/>
      <c r="T54" s="63"/>
      <c r="U54" s="63"/>
      <c r="V54" s="71">
        <f>IF(OR(COUNTA(P54:R54)&gt;=2,COUNTA(S54:U54)&gt;=2),"ошибка",(IF((AND(COUNTA(P54:R54)=1,P54&gt;0)),P54*60*VLOOKUP(D54,'2Рабочее время'!$A:$L,4,FALSE)*((IF(VLOOKUP(D54,'2Рабочее время'!$A$1:$C$50,2,FALSE)&gt;0,VLOOKUP(D54,'2Рабочее время'!$A$1:$C$50,2,FALSE),VLOOKUP(D54,'2Рабочее время'!$A$1:$C$50,3,FALSE)))),IF((AND(COUNTA(P54:R54)=1,Q54&gt;0)),Q54*((IF(VLOOKUP(D54,'2Рабочее время'!$A$1:$C$50,2,FALSE)&gt;0,VLOOKUP(D54,'2Рабочее время'!$A$1:$C$50,2,FALSE),VLOOKUP(D54,'2Рабочее время'!$A$1:$C$50,3,FALSE)))),IF((AND(COUNTA(P54:R54)=1,R54&gt;0)),R54*O54*IF(N54=0,0,IF(N54="Количество в месяц",1,IF(N54="Количество в неделю",4.285,IF(N54="Количество в день",IF(VLOOKUP(D54,'2Рабочее время'!$A$1:$C$50,2,FALSE)&gt;0,VLOOKUP(D54,'2Рабочее время'!$A$1:$C$50,2,FALSE),VLOOKUP(D54,'2Рабочее время'!$A$1:$C$50,3,FALSE)))))),0)))+IF((AND(COUNTA(S54:U54)=1,S54&gt;0)),S54*60*VLOOKUP(D54,'2Рабочее время'!$A:$L,4,FALSE)*((IF(VLOOKUP(D54,'2Рабочее время'!$A$1:$C$50,2,FALSE)&gt;0,VLOOKUP(D54,'2Рабочее время'!$A$1:$C$50,2,FALSE),VLOOKUP(D54,'2Рабочее время'!$A$1:$C$50,3,FALSE)))),IF((AND(COUNTA(P54:R54)=1,Q54&gt;0)),Q54*((IF(VLOOKUP(D54,'2Рабочее время'!$A$1:$C$50,2,FALSE)&gt;0,VLOOKUP(D54,'2Рабочее время'!$A$1:$C$50,2,FALSE),VLOOKUP(D54,'2Рабочее время'!$A$1:$C$50,3,FALSE)))),IF((AND(COUNTA(S54:U54)=1,T54&gt;0)),T54*((IF(VLOOKUP(D54,'2Рабочее время'!$A$1:$C$50,2,FALSE)&gt;0,VLOOKUP(D54,'2Рабочее время'!$A$1:$C$50,2,FALSE),VLOOKUP(D54,'2Рабочее время'!$A$1:$C$50,3,FALSE)))),IF((AND(COUNTA(S54:U54)=1,U54&gt;0)),U54*O54*IF(N54=0,0,IF(N54="Количество в месяц",1,IF(N54="Количество в неделю",4.285,IF(N54="Количество в день",IF(VLOOKUP(D54,'2Рабочее время'!$A$1:$C$50,2,FALSE)&gt;0,VLOOKUP(D54,'2Рабочее время'!$A$1:$C$50,2,FALSE),VLOOKUP(D54,'2Рабочее время'!$A$1:$C$50,3,FALSE)))))),0))))))</f>
        <v>0</v>
      </c>
      <c r="W54" s="33">
        <v>1</v>
      </c>
      <c r="X54" s="13">
        <f>IF(N54=0,0,IF(N54="Количество в месяц",L54*O54*W54,IF(N54="Количество в неделю",L54*O54*W54*4.285,IF(N54="Количество в день",L54*O54*W54*IF(VLOOKUP(D54,'2Рабочее время'!$A$1:$C$50,2,FALSE)&gt;0,VLOOKUP(D54,'2Рабочее время'!$A$1:$C$50,2,FALSE),VLOOKUP(D54,'2Рабочее время'!$A$1:$C$50,3,FALSE))))))+V54</f>
        <v>0</v>
      </c>
      <c r="Y54" s="13">
        <f t="shared" si="3"/>
        <v>0</v>
      </c>
    </row>
    <row r="55" spans="1:25" ht="54" customHeight="1" x14ac:dyDescent="0.25">
      <c r="A55" s="23">
        <v>54</v>
      </c>
      <c r="B55" s="23"/>
      <c r="C55" s="23"/>
      <c r="D55" s="78"/>
      <c r="E55" s="126"/>
      <c r="F55" s="129">
        <v>1</v>
      </c>
      <c r="G55" s="74"/>
      <c r="H55" s="73"/>
      <c r="I55" s="73"/>
      <c r="J55" s="78"/>
      <c r="K55" s="78"/>
      <c r="L55" s="13">
        <f t="shared" si="1"/>
        <v>0</v>
      </c>
      <c r="M55" s="78"/>
      <c r="N55" s="78"/>
      <c r="O55" s="78"/>
      <c r="P55" s="75"/>
      <c r="Q55" s="63"/>
      <c r="R55" s="63"/>
      <c r="S55" s="77"/>
      <c r="T55" s="63"/>
      <c r="U55" s="63"/>
      <c r="V55" s="71">
        <f>IF(OR(COUNTA(P55:R55)&gt;=2,COUNTA(S55:U55)&gt;=2),"ошибка",(IF((AND(COUNTA(P55:R55)=1,P55&gt;0)),P55*60*VLOOKUP(D55,'2Рабочее время'!$A:$L,4,FALSE)*((IF(VLOOKUP(D55,'2Рабочее время'!$A$1:$C$50,2,FALSE)&gt;0,VLOOKUP(D55,'2Рабочее время'!$A$1:$C$50,2,FALSE),VLOOKUP(D55,'2Рабочее время'!$A$1:$C$50,3,FALSE)))),IF((AND(COUNTA(P55:R55)=1,Q55&gt;0)),Q55*((IF(VLOOKUP(D55,'2Рабочее время'!$A$1:$C$50,2,FALSE)&gt;0,VLOOKUP(D55,'2Рабочее время'!$A$1:$C$50,2,FALSE),VLOOKUP(D55,'2Рабочее время'!$A$1:$C$50,3,FALSE)))),IF((AND(COUNTA(P55:R55)=1,R55&gt;0)),R55*O55*IF(N55=0,0,IF(N55="Количество в месяц",1,IF(N55="Количество в неделю",4.285,IF(N55="Количество в день",IF(VLOOKUP(D55,'2Рабочее время'!$A$1:$C$50,2,FALSE)&gt;0,VLOOKUP(D55,'2Рабочее время'!$A$1:$C$50,2,FALSE),VLOOKUP(D55,'2Рабочее время'!$A$1:$C$50,3,FALSE)))))),0)))+IF((AND(COUNTA(S55:U55)=1,S55&gt;0)),S55*60*VLOOKUP(D55,'2Рабочее время'!$A:$L,4,FALSE)*((IF(VLOOKUP(D55,'2Рабочее время'!$A$1:$C$50,2,FALSE)&gt;0,VLOOKUP(D55,'2Рабочее время'!$A$1:$C$50,2,FALSE),VLOOKUP(D55,'2Рабочее время'!$A$1:$C$50,3,FALSE)))),IF((AND(COUNTA(P55:R55)=1,Q55&gt;0)),Q55*((IF(VLOOKUP(D55,'2Рабочее время'!$A$1:$C$50,2,FALSE)&gt;0,VLOOKUP(D55,'2Рабочее время'!$A$1:$C$50,2,FALSE),VLOOKUP(D55,'2Рабочее время'!$A$1:$C$50,3,FALSE)))),IF((AND(COUNTA(S55:U55)=1,T55&gt;0)),T55*((IF(VLOOKUP(D55,'2Рабочее время'!$A$1:$C$50,2,FALSE)&gt;0,VLOOKUP(D55,'2Рабочее время'!$A$1:$C$50,2,FALSE),VLOOKUP(D55,'2Рабочее время'!$A$1:$C$50,3,FALSE)))),IF((AND(COUNTA(S55:U55)=1,U55&gt;0)),U55*O55*IF(N55=0,0,IF(N55="Количество в месяц",1,IF(N55="Количество в неделю",4.285,IF(N55="Количество в день",IF(VLOOKUP(D55,'2Рабочее время'!$A$1:$C$50,2,FALSE)&gt;0,VLOOKUP(D55,'2Рабочее время'!$A$1:$C$50,2,FALSE),VLOOKUP(D55,'2Рабочее время'!$A$1:$C$50,3,FALSE)))))),0))))))</f>
        <v>0</v>
      </c>
      <c r="W55" s="33">
        <v>1</v>
      </c>
      <c r="X55" s="13">
        <f>IF(N55=0,0,IF(N55="Количество в месяц",L55*O55*W55,IF(N55="Количество в неделю",L55*O55*W55*4.285,IF(N55="Количество в день",L55*O55*W55*IF(VLOOKUP(D55,'2Рабочее время'!$A$1:$C$50,2,FALSE)&gt;0,VLOOKUP(D55,'2Рабочее время'!$A$1:$C$50,2,FALSE),VLOOKUP(D55,'2Рабочее время'!$A$1:$C$50,3,FALSE))))))+V55</f>
        <v>0</v>
      </c>
      <c r="Y55" s="13">
        <f t="shared" si="3"/>
        <v>0</v>
      </c>
    </row>
    <row r="56" spans="1:25" ht="54" customHeight="1" x14ac:dyDescent="0.25">
      <c r="A56" s="23">
        <v>55</v>
      </c>
      <c r="B56" s="23"/>
      <c r="C56" s="23"/>
      <c r="D56" s="78"/>
      <c r="E56" s="126"/>
      <c r="F56" s="129">
        <v>1</v>
      </c>
      <c r="G56" s="74"/>
      <c r="H56" s="73"/>
      <c r="I56" s="73"/>
      <c r="J56" s="78"/>
      <c r="K56" s="78"/>
      <c r="L56" s="13">
        <f t="shared" si="1"/>
        <v>0</v>
      </c>
      <c r="M56" s="78"/>
      <c r="N56" s="78"/>
      <c r="O56" s="78"/>
      <c r="P56" s="75"/>
      <c r="Q56" s="63"/>
      <c r="R56" s="63"/>
      <c r="S56" s="77"/>
      <c r="T56" s="63"/>
      <c r="U56" s="63"/>
      <c r="V56" s="71">
        <f>IF(OR(COUNTA(P56:R56)&gt;=2,COUNTA(S56:U56)&gt;=2),"ошибка",(IF((AND(COUNTA(P56:R56)=1,P56&gt;0)),P56*60*VLOOKUP(D56,'2Рабочее время'!$A:$L,4,FALSE)*((IF(VLOOKUP(D56,'2Рабочее время'!$A$1:$C$50,2,FALSE)&gt;0,VLOOKUP(D56,'2Рабочее время'!$A$1:$C$50,2,FALSE),VLOOKUP(D56,'2Рабочее время'!$A$1:$C$50,3,FALSE)))),IF((AND(COUNTA(P56:R56)=1,Q56&gt;0)),Q56*((IF(VLOOKUP(D56,'2Рабочее время'!$A$1:$C$50,2,FALSE)&gt;0,VLOOKUP(D56,'2Рабочее время'!$A$1:$C$50,2,FALSE),VLOOKUP(D56,'2Рабочее время'!$A$1:$C$50,3,FALSE)))),IF((AND(COUNTA(P56:R56)=1,R56&gt;0)),R56*O56*IF(N56=0,0,IF(N56="Количество в месяц",1,IF(N56="Количество в неделю",4.285,IF(N56="Количество в день",IF(VLOOKUP(D56,'2Рабочее время'!$A$1:$C$50,2,FALSE)&gt;0,VLOOKUP(D56,'2Рабочее время'!$A$1:$C$50,2,FALSE),VLOOKUP(D56,'2Рабочее время'!$A$1:$C$50,3,FALSE)))))),0)))+IF((AND(COUNTA(S56:U56)=1,S56&gt;0)),S56*60*VLOOKUP(D56,'2Рабочее время'!$A:$L,4,FALSE)*((IF(VLOOKUP(D56,'2Рабочее время'!$A$1:$C$50,2,FALSE)&gt;0,VLOOKUP(D56,'2Рабочее время'!$A$1:$C$50,2,FALSE),VLOOKUP(D56,'2Рабочее время'!$A$1:$C$50,3,FALSE)))),IF((AND(COUNTA(P56:R56)=1,Q56&gt;0)),Q56*((IF(VLOOKUP(D56,'2Рабочее время'!$A$1:$C$50,2,FALSE)&gt;0,VLOOKUP(D56,'2Рабочее время'!$A$1:$C$50,2,FALSE),VLOOKUP(D56,'2Рабочее время'!$A$1:$C$50,3,FALSE)))),IF((AND(COUNTA(S56:U56)=1,T56&gt;0)),T56*((IF(VLOOKUP(D56,'2Рабочее время'!$A$1:$C$50,2,FALSE)&gt;0,VLOOKUP(D56,'2Рабочее время'!$A$1:$C$50,2,FALSE),VLOOKUP(D56,'2Рабочее время'!$A$1:$C$50,3,FALSE)))),IF((AND(COUNTA(S56:U56)=1,U56&gt;0)),U56*O56*IF(N56=0,0,IF(N56="Количество в месяц",1,IF(N56="Количество в неделю",4.285,IF(N56="Количество в день",IF(VLOOKUP(D56,'2Рабочее время'!$A$1:$C$50,2,FALSE)&gt;0,VLOOKUP(D56,'2Рабочее время'!$A$1:$C$50,2,FALSE),VLOOKUP(D56,'2Рабочее время'!$A$1:$C$50,3,FALSE)))))),0))))))</f>
        <v>0</v>
      </c>
      <c r="W56" s="33">
        <v>1</v>
      </c>
      <c r="X56" s="13">
        <f>IF(N56=0,0,IF(N56="Количество в месяц",L56*O56*W56,IF(N56="Количество в неделю",L56*O56*W56*4.285,IF(N56="Количество в день",L56*O56*W56*IF(VLOOKUP(D56,'2Рабочее время'!$A$1:$C$50,2,FALSE)&gt;0,VLOOKUP(D56,'2Рабочее время'!$A$1:$C$50,2,FALSE),VLOOKUP(D56,'2Рабочее время'!$A$1:$C$50,3,FALSE))))))+V56</f>
        <v>0</v>
      </c>
      <c r="Y56" s="13">
        <f t="shared" si="3"/>
        <v>0</v>
      </c>
    </row>
    <row r="57" spans="1:25" ht="54" customHeight="1" x14ac:dyDescent="0.25">
      <c r="A57" s="23">
        <v>56</v>
      </c>
      <c r="B57" s="23"/>
      <c r="C57" s="23"/>
      <c r="D57" s="78"/>
      <c r="E57" s="126"/>
      <c r="F57" s="129">
        <v>1</v>
      </c>
      <c r="G57" s="74"/>
      <c r="H57" s="73"/>
      <c r="I57" s="73"/>
      <c r="J57" s="78"/>
      <c r="K57" s="78"/>
      <c r="L57" s="13">
        <f t="shared" si="1"/>
        <v>0</v>
      </c>
      <c r="M57" s="78"/>
      <c r="N57" s="78"/>
      <c r="O57" s="78"/>
      <c r="P57" s="75"/>
      <c r="Q57" s="63"/>
      <c r="R57" s="63"/>
      <c r="S57" s="77"/>
      <c r="T57" s="63"/>
      <c r="U57" s="63"/>
      <c r="V57" s="71">
        <f>IF(OR(COUNTA(P57:R57)&gt;=2,COUNTA(S57:U57)&gt;=2),"ошибка",(IF((AND(COUNTA(P57:R57)=1,P57&gt;0)),P57*60*VLOOKUP(D57,'2Рабочее время'!$A:$L,4,FALSE)*((IF(VLOOKUP(D57,'2Рабочее время'!$A$1:$C$50,2,FALSE)&gt;0,VLOOKUP(D57,'2Рабочее время'!$A$1:$C$50,2,FALSE),VLOOKUP(D57,'2Рабочее время'!$A$1:$C$50,3,FALSE)))),IF((AND(COUNTA(P57:R57)=1,Q57&gt;0)),Q57*((IF(VLOOKUP(D57,'2Рабочее время'!$A$1:$C$50,2,FALSE)&gt;0,VLOOKUP(D57,'2Рабочее время'!$A$1:$C$50,2,FALSE),VLOOKUP(D57,'2Рабочее время'!$A$1:$C$50,3,FALSE)))),IF((AND(COUNTA(P57:R57)=1,R57&gt;0)),R57*O57*IF(N57=0,0,IF(N57="Количество в месяц",1,IF(N57="Количество в неделю",4.285,IF(N57="Количество в день",IF(VLOOKUP(D57,'2Рабочее время'!$A$1:$C$50,2,FALSE)&gt;0,VLOOKUP(D57,'2Рабочее время'!$A$1:$C$50,2,FALSE),VLOOKUP(D57,'2Рабочее время'!$A$1:$C$50,3,FALSE)))))),0)))+IF((AND(COUNTA(S57:U57)=1,S57&gt;0)),S57*60*VLOOKUP(D57,'2Рабочее время'!$A:$L,4,FALSE)*((IF(VLOOKUP(D57,'2Рабочее время'!$A$1:$C$50,2,FALSE)&gt;0,VLOOKUP(D57,'2Рабочее время'!$A$1:$C$50,2,FALSE),VLOOKUP(D57,'2Рабочее время'!$A$1:$C$50,3,FALSE)))),IF((AND(COUNTA(P57:R57)=1,Q57&gt;0)),Q57*((IF(VLOOKUP(D57,'2Рабочее время'!$A$1:$C$50,2,FALSE)&gt;0,VLOOKUP(D57,'2Рабочее время'!$A$1:$C$50,2,FALSE),VLOOKUP(D57,'2Рабочее время'!$A$1:$C$50,3,FALSE)))),IF((AND(COUNTA(S57:U57)=1,T57&gt;0)),T57*((IF(VLOOKUP(D57,'2Рабочее время'!$A$1:$C$50,2,FALSE)&gt;0,VLOOKUP(D57,'2Рабочее время'!$A$1:$C$50,2,FALSE),VLOOKUP(D57,'2Рабочее время'!$A$1:$C$50,3,FALSE)))),IF((AND(COUNTA(S57:U57)=1,U57&gt;0)),U57*O57*IF(N57=0,0,IF(N57="Количество в месяц",1,IF(N57="Количество в неделю",4.285,IF(N57="Количество в день",IF(VLOOKUP(D57,'2Рабочее время'!$A$1:$C$50,2,FALSE)&gt;0,VLOOKUP(D57,'2Рабочее время'!$A$1:$C$50,2,FALSE),VLOOKUP(D57,'2Рабочее время'!$A$1:$C$50,3,FALSE)))))),0))))))</f>
        <v>0</v>
      </c>
      <c r="W57" s="33">
        <v>1</v>
      </c>
      <c r="X57" s="13">
        <f>IF(N57=0,0,IF(N57="Количество в месяц",L57*O57*W57,IF(N57="Количество в неделю",L57*O57*W57*4.285,IF(N57="Количество в день",L57*O57*W57*IF(VLOOKUP(D57,'2Рабочее время'!$A$1:$C$50,2,FALSE)&gt;0,VLOOKUP(D57,'2Рабочее время'!$A$1:$C$50,2,FALSE),VLOOKUP(D57,'2Рабочее время'!$A$1:$C$50,3,FALSE))))))+V57</f>
        <v>0</v>
      </c>
      <c r="Y57" s="13">
        <f t="shared" si="3"/>
        <v>0</v>
      </c>
    </row>
    <row r="58" spans="1:25" ht="54" customHeight="1" x14ac:dyDescent="0.25">
      <c r="A58" s="23">
        <v>57</v>
      </c>
      <c r="B58" s="23"/>
      <c r="C58" s="23"/>
      <c r="D58" s="78"/>
      <c r="E58" s="126"/>
      <c r="F58" s="129">
        <v>1</v>
      </c>
      <c r="G58" s="74"/>
      <c r="H58" s="73"/>
      <c r="I58" s="73"/>
      <c r="J58" s="78"/>
      <c r="K58" s="78"/>
      <c r="L58" s="13">
        <f t="shared" si="1"/>
        <v>0</v>
      </c>
      <c r="M58" s="78"/>
      <c r="N58" s="78"/>
      <c r="O58" s="78"/>
      <c r="P58" s="75"/>
      <c r="Q58" s="63"/>
      <c r="R58" s="63"/>
      <c r="S58" s="77"/>
      <c r="T58" s="63"/>
      <c r="U58" s="63"/>
      <c r="V58" s="71">
        <f>IF(OR(COUNTA(P58:R58)&gt;=2,COUNTA(S58:U58)&gt;=2),"ошибка",(IF((AND(COUNTA(P58:R58)=1,P58&gt;0)),P58*60*VLOOKUP(D58,'2Рабочее время'!$A:$L,4,FALSE)*((IF(VLOOKUP(D58,'2Рабочее время'!$A$1:$C$50,2,FALSE)&gt;0,VLOOKUP(D58,'2Рабочее время'!$A$1:$C$50,2,FALSE),VLOOKUP(D58,'2Рабочее время'!$A$1:$C$50,3,FALSE)))),IF((AND(COUNTA(P58:R58)=1,Q58&gt;0)),Q58*((IF(VLOOKUP(D58,'2Рабочее время'!$A$1:$C$50,2,FALSE)&gt;0,VLOOKUP(D58,'2Рабочее время'!$A$1:$C$50,2,FALSE),VLOOKUP(D58,'2Рабочее время'!$A$1:$C$50,3,FALSE)))),IF((AND(COUNTA(P58:R58)=1,R58&gt;0)),R58*O58*IF(N58=0,0,IF(N58="Количество в месяц",1,IF(N58="Количество в неделю",4.285,IF(N58="Количество в день",IF(VLOOKUP(D58,'2Рабочее время'!$A$1:$C$50,2,FALSE)&gt;0,VLOOKUP(D58,'2Рабочее время'!$A$1:$C$50,2,FALSE),VLOOKUP(D58,'2Рабочее время'!$A$1:$C$50,3,FALSE)))))),0)))+IF((AND(COUNTA(S58:U58)=1,S58&gt;0)),S58*60*VLOOKUP(D58,'2Рабочее время'!$A:$L,4,FALSE)*((IF(VLOOKUP(D58,'2Рабочее время'!$A$1:$C$50,2,FALSE)&gt;0,VLOOKUP(D58,'2Рабочее время'!$A$1:$C$50,2,FALSE),VLOOKUP(D58,'2Рабочее время'!$A$1:$C$50,3,FALSE)))),IF((AND(COUNTA(P58:R58)=1,Q58&gt;0)),Q58*((IF(VLOOKUP(D58,'2Рабочее время'!$A$1:$C$50,2,FALSE)&gt;0,VLOOKUP(D58,'2Рабочее время'!$A$1:$C$50,2,FALSE),VLOOKUP(D58,'2Рабочее время'!$A$1:$C$50,3,FALSE)))),IF((AND(COUNTA(S58:U58)=1,T58&gt;0)),T58*((IF(VLOOKUP(D58,'2Рабочее время'!$A$1:$C$50,2,FALSE)&gt;0,VLOOKUP(D58,'2Рабочее время'!$A$1:$C$50,2,FALSE),VLOOKUP(D58,'2Рабочее время'!$A$1:$C$50,3,FALSE)))),IF((AND(COUNTA(S58:U58)=1,U58&gt;0)),U58*O58*IF(N58=0,0,IF(N58="Количество в месяц",1,IF(N58="Количество в неделю",4.285,IF(N58="Количество в день",IF(VLOOKUP(D58,'2Рабочее время'!$A$1:$C$50,2,FALSE)&gt;0,VLOOKUP(D58,'2Рабочее время'!$A$1:$C$50,2,FALSE),VLOOKUP(D58,'2Рабочее время'!$A$1:$C$50,3,FALSE)))))),0))))))</f>
        <v>0</v>
      </c>
      <c r="W58" s="33">
        <v>1</v>
      </c>
      <c r="X58" s="13">
        <f>IF(N58=0,0,IF(N58="Количество в месяц",L58*O58*W58,IF(N58="Количество в неделю",L58*O58*W58*4.285,IF(N58="Количество в день",L58*O58*W58*IF(VLOOKUP(D58,'2Рабочее время'!$A$1:$C$50,2,FALSE)&gt;0,VLOOKUP(D58,'2Рабочее время'!$A$1:$C$50,2,FALSE),VLOOKUP(D58,'2Рабочее время'!$A$1:$C$50,3,FALSE))))))+V58</f>
        <v>0</v>
      </c>
      <c r="Y58" s="13">
        <f t="shared" si="3"/>
        <v>0</v>
      </c>
    </row>
    <row r="59" spans="1:25" ht="54" customHeight="1" x14ac:dyDescent="0.25">
      <c r="A59" s="23">
        <v>58</v>
      </c>
      <c r="B59" s="23"/>
      <c r="C59" s="23"/>
      <c r="D59" s="78"/>
      <c r="E59" s="126"/>
      <c r="F59" s="129">
        <v>1</v>
      </c>
      <c r="G59" s="74"/>
      <c r="H59" s="73"/>
      <c r="I59" s="73"/>
      <c r="J59" s="78"/>
      <c r="K59" s="78"/>
      <c r="L59" s="13">
        <f t="shared" si="1"/>
        <v>0</v>
      </c>
      <c r="M59" s="78"/>
      <c r="N59" s="78"/>
      <c r="O59" s="78"/>
      <c r="P59" s="75"/>
      <c r="Q59" s="63"/>
      <c r="R59" s="63"/>
      <c r="S59" s="77"/>
      <c r="T59" s="63"/>
      <c r="U59" s="63"/>
      <c r="V59" s="71">
        <f>IF(OR(COUNTA(P59:R59)&gt;=2,COUNTA(S59:U59)&gt;=2),"ошибка",(IF((AND(COUNTA(P59:R59)=1,P59&gt;0)),P59*60*VLOOKUP(D59,'2Рабочее время'!$A:$L,4,FALSE)*((IF(VLOOKUP(D59,'2Рабочее время'!$A$1:$C$50,2,FALSE)&gt;0,VLOOKUP(D59,'2Рабочее время'!$A$1:$C$50,2,FALSE),VLOOKUP(D59,'2Рабочее время'!$A$1:$C$50,3,FALSE)))),IF((AND(COUNTA(P59:R59)=1,Q59&gt;0)),Q59*((IF(VLOOKUP(D59,'2Рабочее время'!$A$1:$C$50,2,FALSE)&gt;0,VLOOKUP(D59,'2Рабочее время'!$A$1:$C$50,2,FALSE),VLOOKUP(D59,'2Рабочее время'!$A$1:$C$50,3,FALSE)))),IF((AND(COUNTA(P59:R59)=1,R59&gt;0)),R59*O59*IF(N59=0,0,IF(N59="Количество в месяц",1,IF(N59="Количество в неделю",4.285,IF(N59="Количество в день",IF(VLOOKUP(D59,'2Рабочее время'!$A$1:$C$50,2,FALSE)&gt;0,VLOOKUP(D59,'2Рабочее время'!$A$1:$C$50,2,FALSE),VLOOKUP(D59,'2Рабочее время'!$A$1:$C$50,3,FALSE)))))),0)))+IF((AND(COUNTA(S59:U59)=1,S59&gt;0)),S59*60*VLOOKUP(D59,'2Рабочее время'!$A:$L,4,FALSE)*((IF(VLOOKUP(D59,'2Рабочее время'!$A$1:$C$50,2,FALSE)&gt;0,VLOOKUP(D59,'2Рабочее время'!$A$1:$C$50,2,FALSE),VLOOKUP(D59,'2Рабочее время'!$A$1:$C$50,3,FALSE)))),IF((AND(COUNTA(P59:R59)=1,Q59&gt;0)),Q59*((IF(VLOOKUP(D59,'2Рабочее время'!$A$1:$C$50,2,FALSE)&gt;0,VLOOKUP(D59,'2Рабочее время'!$A$1:$C$50,2,FALSE),VLOOKUP(D59,'2Рабочее время'!$A$1:$C$50,3,FALSE)))),IF((AND(COUNTA(S59:U59)=1,T59&gt;0)),T59*((IF(VLOOKUP(D59,'2Рабочее время'!$A$1:$C$50,2,FALSE)&gt;0,VLOOKUP(D59,'2Рабочее время'!$A$1:$C$50,2,FALSE),VLOOKUP(D59,'2Рабочее время'!$A$1:$C$50,3,FALSE)))),IF((AND(COUNTA(S59:U59)=1,U59&gt;0)),U59*O59*IF(N59=0,0,IF(N59="Количество в месяц",1,IF(N59="Количество в неделю",4.285,IF(N59="Количество в день",IF(VLOOKUP(D59,'2Рабочее время'!$A$1:$C$50,2,FALSE)&gt;0,VLOOKUP(D59,'2Рабочее время'!$A$1:$C$50,2,FALSE),VLOOKUP(D59,'2Рабочее время'!$A$1:$C$50,3,FALSE)))))),0))))))</f>
        <v>0</v>
      </c>
      <c r="W59" s="33">
        <v>1</v>
      </c>
      <c r="X59" s="13">
        <f>IF(N59=0,0,IF(N59="Количество в месяц",L59*O59*W59,IF(N59="Количество в неделю",L59*O59*W59*4.285,IF(N59="Количество в день",L59*O59*W59*IF(VLOOKUP(D59,'2Рабочее время'!$A$1:$C$50,2,FALSE)&gt;0,VLOOKUP(D59,'2Рабочее время'!$A$1:$C$50,2,FALSE),VLOOKUP(D59,'2Рабочее время'!$A$1:$C$50,3,FALSE))))))+V59</f>
        <v>0</v>
      </c>
      <c r="Y59" s="13">
        <f t="shared" si="3"/>
        <v>0</v>
      </c>
    </row>
    <row r="60" spans="1:25" ht="54" customHeight="1" x14ac:dyDescent="0.25">
      <c r="A60" s="23">
        <v>59</v>
      </c>
      <c r="B60" s="23"/>
      <c r="C60" s="23"/>
      <c r="D60" s="78"/>
      <c r="E60" s="126"/>
      <c r="F60" s="129">
        <v>1</v>
      </c>
      <c r="G60" s="74"/>
      <c r="H60" s="73"/>
      <c r="I60" s="73"/>
      <c r="J60" s="78"/>
      <c r="K60" s="78"/>
      <c r="L60" s="13">
        <f t="shared" si="1"/>
        <v>0</v>
      </c>
      <c r="M60" s="78"/>
      <c r="N60" s="78"/>
      <c r="O60" s="78"/>
      <c r="P60" s="75"/>
      <c r="Q60" s="63"/>
      <c r="R60" s="63"/>
      <c r="S60" s="77"/>
      <c r="T60" s="63"/>
      <c r="U60" s="63"/>
      <c r="V60" s="71">
        <f>IF(OR(COUNTA(P60:R60)&gt;=2,COUNTA(S60:U60)&gt;=2),"ошибка",(IF((AND(COUNTA(P60:R60)=1,P60&gt;0)),P60*60*VLOOKUP(D60,'2Рабочее время'!$A:$L,4,FALSE)*((IF(VLOOKUP(D60,'2Рабочее время'!$A$1:$C$50,2,FALSE)&gt;0,VLOOKUP(D60,'2Рабочее время'!$A$1:$C$50,2,FALSE),VLOOKUP(D60,'2Рабочее время'!$A$1:$C$50,3,FALSE)))),IF((AND(COUNTA(P60:R60)=1,Q60&gt;0)),Q60*((IF(VLOOKUP(D60,'2Рабочее время'!$A$1:$C$50,2,FALSE)&gt;0,VLOOKUP(D60,'2Рабочее время'!$A$1:$C$50,2,FALSE),VLOOKUP(D60,'2Рабочее время'!$A$1:$C$50,3,FALSE)))),IF((AND(COUNTA(P60:R60)=1,R60&gt;0)),R60*O60*IF(N60=0,0,IF(N60="Количество в месяц",1,IF(N60="Количество в неделю",4.285,IF(N60="Количество в день",IF(VLOOKUP(D60,'2Рабочее время'!$A$1:$C$50,2,FALSE)&gt;0,VLOOKUP(D60,'2Рабочее время'!$A$1:$C$50,2,FALSE),VLOOKUP(D60,'2Рабочее время'!$A$1:$C$50,3,FALSE)))))),0)))+IF((AND(COUNTA(S60:U60)=1,S60&gt;0)),S60*60*VLOOKUP(D60,'2Рабочее время'!$A:$L,4,FALSE)*((IF(VLOOKUP(D60,'2Рабочее время'!$A$1:$C$50,2,FALSE)&gt;0,VLOOKUP(D60,'2Рабочее время'!$A$1:$C$50,2,FALSE),VLOOKUP(D60,'2Рабочее время'!$A$1:$C$50,3,FALSE)))),IF((AND(COUNTA(P60:R60)=1,Q60&gt;0)),Q60*((IF(VLOOKUP(D60,'2Рабочее время'!$A$1:$C$50,2,FALSE)&gt;0,VLOOKUP(D60,'2Рабочее время'!$A$1:$C$50,2,FALSE),VLOOKUP(D60,'2Рабочее время'!$A$1:$C$50,3,FALSE)))),IF((AND(COUNTA(S60:U60)=1,T60&gt;0)),T60*((IF(VLOOKUP(D60,'2Рабочее время'!$A$1:$C$50,2,FALSE)&gt;0,VLOOKUP(D60,'2Рабочее время'!$A$1:$C$50,2,FALSE),VLOOKUP(D60,'2Рабочее время'!$A$1:$C$50,3,FALSE)))),IF((AND(COUNTA(S60:U60)=1,U60&gt;0)),U60*O60*IF(N60=0,0,IF(N60="Количество в месяц",1,IF(N60="Количество в неделю",4.285,IF(N60="Количество в день",IF(VLOOKUP(D60,'2Рабочее время'!$A$1:$C$50,2,FALSE)&gt;0,VLOOKUP(D60,'2Рабочее время'!$A$1:$C$50,2,FALSE),VLOOKUP(D60,'2Рабочее время'!$A$1:$C$50,3,FALSE)))))),0))))))</f>
        <v>0</v>
      </c>
      <c r="W60" s="33">
        <v>1</v>
      </c>
      <c r="X60" s="13">
        <f>IF(N60=0,0,IF(N60="Количество в месяц",L60*O60*W60,IF(N60="Количество в неделю",L60*O60*W60*4.285,IF(N60="Количество в день",L60*O60*W60*IF(VLOOKUP(D60,'2Рабочее время'!$A$1:$C$50,2,FALSE)&gt;0,VLOOKUP(D60,'2Рабочее время'!$A$1:$C$50,2,FALSE),VLOOKUP(D60,'2Рабочее время'!$A$1:$C$50,3,FALSE))))))+V60</f>
        <v>0</v>
      </c>
      <c r="Y60" s="13">
        <f t="shared" si="3"/>
        <v>0</v>
      </c>
    </row>
    <row r="61" spans="1:25" ht="54" customHeight="1" x14ac:dyDescent="0.25">
      <c r="A61" s="23">
        <v>60</v>
      </c>
      <c r="B61" s="23"/>
      <c r="C61" s="23"/>
      <c r="D61" s="78"/>
      <c r="E61" s="126"/>
      <c r="F61" s="129">
        <v>1</v>
      </c>
      <c r="G61" s="74"/>
      <c r="H61" s="73"/>
      <c r="I61" s="73"/>
      <c r="J61" s="78"/>
      <c r="K61" s="78"/>
      <c r="L61" s="13">
        <f t="shared" si="1"/>
        <v>0</v>
      </c>
      <c r="M61" s="78"/>
      <c r="N61" s="78"/>
      <c r="O61" s="78"/>
      <c r="P61" s="75"/>
      <c r="Q61" s="63"/>
      <c r="R61" s="63"/>
      <c r="S61" s="77"/>
      <c r="T61" s="63"/>
      <c r="U61" s="63"/>
      <c r="V61" s="71">
        <f>IF(OR(COUNTA(P61:R61)&gt;=2,COUNTA(S61:U61)&gt;=2),"ошибка",(IF((AND(COUNTA(P61:R61)=1,P61&gt;0)),P61*60*VLOOKUP(D61,'2Рабочее время'!$A:$L,4,FALSE)*((IF(VLOOKUP(D61,'2Рабочее время'!$A$1:$C$50,2,FALSE)&gt;0,VLOOKUP(D61,'2Рабочее время'!$A$1:$C$50,2,FALSE),VLOOKUP(D61,'2Рабочее время'!$A$1:$C$50,3,FALSE)))),IF((AND(COUNTA(P61:R61)=1,Q61&gt;0)),Q61*((IF(VLOOKUP(D61,'2Рабочее время'!$A$1:$C$50,2,FALSE)&gt;0,VLOOKUP(D61,'2Рабочее время'!$A$1:$C$50,2,FALSE),VLOOKUP(D61,'2Рабочее время'!$A$1:$C$50,3,FALSE)))),IF((AND(COUNTA(P61:R61)=1,R61&gt;0)),R61*O61*IF(N61=0,0,IF(N61="Количество в месяц",1,IF(N61="Количество в неделю",4.285,IF(N61="Количество в день",IF(VLOOKUP(D61,'2Рабочее время'!$A$1:$C$50,2,FALSE)&gt;0,VLOOKUP(D61,'2Рабочее время'!$A$1:$C$50,2,FALSE),VLOOKUP(D61,'2Рабочее время'!$A$1:$C$50,3,FALSE)))))),0)))+IF((AND(COUNTA(S61:U61)=1,S61&gt;0)),S61*60*VLOOKUP(D61,'2Рабочее время'!$A:$L,4,FALSE)*((IF(VLOOKUP(D61,'2Рабочее время'!$A$1:$C$50,2,FALSE)&gt;0,VLOOKUP(D61,'2Рабочее время'!$A$1:$C$50,2,FALSE),VLOOKUP(D61,'2Рабочее время'!$A$1:$C$50,3,FALSE)))),IF((AND(COUNTA(P61:R61)=1,Q61&gt;0)),Q61*((IF(VLOOKUP(D61,'2Рабочее время'!$A$1:$C$50,2,FALSE)&gt;0,VLOOKUP(D61,'2Рабочее время'!$A$1:$C$50,2,FALSE),VLOOKUP(D61,'2Рабочее время'!$A$1:$C$50,3,FALSE)))),IF((AND(COUNTA(S61:U61)=1,T61&gt;0)),T61*((IF(VLOOKUP(D61,'2Рабочее время'!$A$1:$C$50,2,FALSE)&gt;0,VLOOKUP(D61,'2Рабочее время'!$A$1:$C$50,2,FALSE),VLOOKUP(D61,'2Рабочее время'!$A$1:$C$50,3,FALSE)))),IF((AND(COUNTA(S61:U61)=1,U61&gt;0)),U61*O61*IF(N61=0,0,IF(N61="Количество в месяц",1,IF(N61="Количество в неделю",4.285,IF(N61="Количество в день",IF(VLOOKUP(D61,'2Рабочее время'!$A$1:$C$50,2,FALSE)&gt;0,VLOOKUP(D61,'2Рабочее время'!$A$1:$C$50,2,FALSE),VLOOKUP(D61,'2Рабочее время'!$A$1:$C$50,3,FALSE)))))),0))))))</f>
        <v>0</v>
      </c>
      <c r="W61" s="33">
        <v>1</v>
      </c>
      <c r="X61" s="13">
        <f>IF(N61=0,0,IF(N61="Количество в месяц",L61*O61*W61,IF(N61="Количество в неделю",L61*O61*W61*4.285,IF(N61="Количество в день",L61*O61*W61*IF(VLOOKUP(D61,'2Рабочее время'!$A$1:$C$50,2,FALSE)&gt;0,VLOOKUP(D61,'2Рабочее время'!$A$1:$C$50,2,FALSE),VLOOKUP(D61,'2Рабочее время'!$A$1:$C$50,3,FALSE))))))+V61</f>
        <v>0</v>
      </c>
      <c r="Y61" s="13">
        <f t="shared" si="3"/>
        <v>0</v>
      </c>
    </row>
    <row r="62" spans="1:25" ht="54" customHeight="1" x14ac:dyDescent="0.25">
      <c r="A62" s="23">
        <v>61</v>
      </c>
      <c r="B62" s="23"/>
      <c r="C62" s="23"/>
      <c r="D62" s="78"/>
      <c r="E62" s="126"/>
      <c r="F62" s="129">
        <v>1</v>
      </c>
      <c r="G62" s="74"/>
      <c r="H62" s="73"/>
      <c r="I62" s="73"/>
      <c r="J62" s="78"/>
      <c r="K62" s="78"/>
      <c r="L62" s="13">
        <f t="shared" si="1"/>
        <v>0</v>
      </c>
      <c r="M62" s="78"/>
      <c r="N62" s="78"/>
      <c r="O62" s="78"/>
      <c r="P62" s="75"/>
      <c r="Q62" s="63"/>
      <c r="R62" s="63"/>
      <c r="S62" s="77"/>
      <c r="T62" s="63"/>
      <c r="U62" s="63"/>
      <c r="V62" s="71">
        <f>IF(OR(COUNTA(P62:R62)&gt;=2,COUNTA(S62:U62)&gt;=2),"ошибка",(IF((AND(COUNTA(P62:R62)=1,P62&gt;0)),P62*60*VLOOKUP(D62,'2Рабочее время'!$A:$L,4,FALSE)*((IF(VLOOKUP(D62,'2Рабочее время'!$A$1:$C$50,2,FALSE)&gt;0,VLOOKUP(D62,'2Рабочее время'!$A$1:$C$50,2,FALSE),VLOOKUP(D62,'2Рабочее время'!$A$1:$C$50,3,FALSE)))),IF((AND(COUNTA(P62:R62)=1,Q62&gt;0)),Q62*((IF(VLOOKUP(D62,'2Рабочее время'!$A$1:$C$50,2,FALSE)&gt;0,VLOOKUP(D62,'2Рабочее время'!$A$1:$C$50,2,FALSE),VLOOKUP(D62,'2Рабочее время'!$A$1:$C$50,3,FALSE)))),IF((AND(COUNTA(P62:R62)=1,R62&gt;0)),R62*O62*IF(N62=0,0,IF(N62="Количество в месяц",1,IF(N62="Количество в неделю",4.285,IF(N62="Количество в день",IF(VLOOKUP(D62,'2Рабочее время'!$A$1:$C$50,2,FALSE)&gt;0,VLOOKUP(D62,'2Рабочее время'!$A$1:$C$50,2,FALSE),VLOOKUP(D62,'2Рабочее время'!$A$1:$C$50,3,FALSE)))))),0)))+IF((AND(COUNTA(S62:U62)=1,S62&gt;0)),S62*60*VLOOKUP(D62,'2Рабочее время'!$A:$L,4,FALSE)*((IF(VLOOKUP(D62,'2Рабочее время'!$A$1:$C$50,2,FALSE)&gt;0,VLOOKUP(D62,'2Рабочее время'!$A$1:$C$50,2,FALSE),VLOOKUP(D62,'2Рабочее время'!$A$1:$C$50,3,FALSE)))),IF((AND(COUNTA(P62:R62)=1,Q62&gt;0)),Q62*((IF(VLOOKUP(D62,'2Рабочее время'!$A$1:$C$50,2,FALSE)&gt;0,VLOOKUP(D62,'2Рабочее время'!$A$1:$C$50,2,FALSE),VLOOKUP(D62,'2Рабочее время'!$A$1:$C$50,3,FALSE)))),IF((AND(COUNTA(S62:U62)=1,T62&gt;0)),T62*((IF(VLOOKUP(D62,'2Рабочее время'!$A$1:$C$50,2,FALSE)&gt;0,VLOOKUP(D62,'2Рабочее время'!$A$1:$C$50,2,FALSE),VLOOKUP(D62,'2Рабочее время'!$A$1:$C$50,3,FALSE)))),IF((AND(COUNTA(S62:U62)=1,U62&gt;0)),U62*O62*IF(N62=0,0,IF(N62="Количество в месяц",1,IF(N62="Количество в неделю",4.285,IF(N62="Количество в день",IF(VLOOKUP(D62,'2Рабочее время'!$A$1:$C$50,2,FALSE)&gt;0,VLOOKUP(D62,'2Рабочее время'!$A$1:$C$50,2,FALSE),VLOOKUP(D62,'2Рабочее время'!$A$1:$C$50,3,FALSE)))))),0))))))</f>
        <v>0</v>
      </c>
      <c r="W62" s="33">
        <v>1</v>
      </c>
      <c r="X62" s="13">
        <f>IF(N62=0,0,IF(N62="Количество в месяц",L62*O62*W62,IF(N62="Количество в неделю",L62*O62*W62*4.285,IF(N62="Количество в день",L62*O62*W62*IF(VLOOKUP(D62,'2Рабочее время'!$A$1:$C$50,2,FALSE)&gt;0,VLOOKUP(D62,'2Рабочее время'!$A$1:$C$50,2,FALSE),VLOOKUP(D62,'2Рабочее время'!$A$1:$C$50,3,FALSE))))))+V62</f>
        <v>0</v>
      </c>
      <c r="Y62" s="13">
        <f t="shared" si="3"/>
        <v>0</v>
      </c>
    </row>
    <row r="63" spans="1:25" ht="54" customHeight="1" x14ac:dyDescent="0.25">
      <c r="A63" s="23">
        <v>62</v>
      </c>
      <c r="B63" s="23"/>
      <c r="C63" s="23"/>
      <c r="D63" s="78"/>
      <c r="E63" s="126"/>
      <c r="F63" s="129">
        <v>1</v>
      </c>
      <c r="G63" s="74"/>
      <c r="H63" s="73"/>
      <c r="I63" s="73"/>
      <c r="J63" s="78"/>
      <c r="K63" s="78"/>
      <c r="L63" s="13">
        <f t="shared" si="1"/>
        <v>0</v>
      </c>
      <c r="M63" s="78"/>
      <c r="N63" s="78"/>
      <c r="O63" s="78"/>
      <c r="P63" s="75"/>
      <c r="Q63" s="63"/>
      <c r="R63" s="63"/>
      <c r="S63" s="77"/>
      <c r="T63" s="63"/>
      <c r="U63" s="63"/>
      <c r="V63" s="71">
        <f>IF(OR(COUNTA(P63:R63)&gt;=2,COUNTA(S63:U63)&gt;=2),"ошибка",(IF((AND(COUNTA(P63:R63)=1,P63&gt;0)),P63*60*VLOOKUP(D63,'2Рабочее время'!$A:$L,4,FALSE)*((IF(VLOOKUP(D63,'2Рабочее время'!$A$1:$C$50,2,FALSE)&gt;0,VLOOKUP(D63,'2Рабочее время'!$A$1:$C$50,2,FALSE),VLOOKUP(D63,'2Рабочее время'!$A$1:$C$50,3,FALSE)))),IF((AND(COUNTA(P63:R63)=1,Q63&gt;0)),Q63*((IF(VLOOKUP(D63,'2Рабочее время'!$A$1:$C$50,2,FALSE)&gt;0,VLOOKUP(D63,'2Рабочее время'!$A$1:$C$50,2,FALSE),VLOOKUP(D63,'2Рабочее время'!$A$1:$C$50,3,FALSE)))),IF((AND(COUNTA(P63:R63)=1,R63&gt;0)),R63*O63*IF(N63=0,0,IF(N63="Количество в месяц",1,IF(N63="Количество в неделю",4.285,IF(N63="Количество в день",IF(VLOOKUP(D63,'2Рабочее время'!$A$1:$C$50,2,FALSE)&gt;0,VLOOKUP(D63,'2Рабочее время'!$A$1:$C$50,2,FALSE),VLOOKUP(D63,'2Рабочее время'!$A$1:$C$50,3,FALSE)))))),0)))+IF((AND(COUNTA(S63:U63)=1,S63&gt;0)),S63*60*VLOOKUP(D63,'2Рабочее время'!$A:$L,4,FALSE)*((IF(VLOOKUP(D63,'2Рабочее время'!$A$1:$C$50,2,FALSE)&gt;0,VLOOKUP(D63,'2Рабочее время'!$A$1:$C$50,2,FALSE),VLOOKUP(D63,'2Рабочее время'!$A$1:$C$50,3,FALSE)))),IF((AND(COUNTA(P63:R63)=1,Q63&gt;0)),Q63*((IF(VLOOKUP(D63,'2Рабочее время'!$A$1:$C$50,2,FALSE)&gt;0,VLOOKUP(D63,'2Рабочее время'!$A$1:$C$50,2,FALSE),VLOOKUP(D63,'2Рабочее время'!$A$1:$C$50,3,FALSE)))),IF((AND(COUNTA(S63:U63)=1,T63&gt;0)),T63*((IF(VLOOKUP(D63,'2Рабочее время'!$A$1:$C$50,2,FALSE)&gt;0,VLOOKUP(D63,'2Рабочее время'!$A$1:$C$50,2,FALSE),VLOOKUP(D63,'2Рабочее время'!$A$1:$C$50,3,FALSE)))),IF((AND(COUNTA(S63:U63)=1,U63&gt;0)),U63*O63*IF(N63=0,0,IF(N63="Количество в месяц",1,IF(N63="Количество в неделю",4.285,IF(N63="Количество в день",IF(VLOOKUP(D63,'2Рабочее время'!$A$1:$C$50,2,FALSE)&gt;0,VLOOKUP(D63,'2Рабочее время'!$A$1:$C$50,2,FALSE),VLOOKUP(D63,'2Рабочее время'!$A$1:$C$50,3,FALSE)))))),0))))))</f>
        <v>0</v>
      </c>
      <c r="W63" s="33">
        <v>1</v>
      </c>
      <c r="X63" s="13">
        <f>IF(N63=0,0,IF(N63="Количество в месяц",L63*O63*W63,IF(N63="Количество в неделю",L63*O63*W63*4.285,IF(N63="Количество в день",L63*O63*W63*IF(VLOOKUP(D63,'2Рабочее время'!$A$1:$C$50,2,FALSE)&gt;0,VLOOKUP(D63,'2Рабочее время'!$A$1:$C$50,2,FALSE),VLOOKUP(D63,'2Рабочее время'!$A$1:$C$50,3,FALSE))))))+V63</f>
        <v>0</v>
      </c>
      <c r="Y63" s="13">
        <f t="shared" si="3"/>
        <v>0</v>
      </c>
    </row>
    <row r="64" spans="1:25" ht="54" customHeight="1" x14ac:dyDescent="0.25">
      <c r="A64" s="23">
        <v>63</v>
      </c>
      <c r="B64" s="23"/>
      <c r="C64" s="23"/>
      <c r="D64" s="78"/>
      <c r="E64" s="126"/>
      <c r="F64" s="129">
        <v>1</v>
      </c>
      <c r="G64" s="74"/>
      <c r="H64" s="73"/>
      <c r="I64" s="73"/>
      <c r="J64" s="78"/>
      <c r="K64" s="78"/>
      <c r="L64" s="13">
        <f t="shared" si="1"/>
        <v>0</v>
      </c>
      <c r="M64" s="78"/>
      <c r="N64" s="78"/>
      <c r="O64" s="78"/>
      <c r="P64" s="75"/>
      <c r="Q64" s="63"/>
      <c r="R64" s="63"/>
      <c r="S64" s="77"/>
      <c r="T64" s="63"/>
      <c r="U64" s="63"/>
      <c r="V64" s="71">
        <f>IF(OR(COUNTA(P64:R64)&gt;=2,COUNTA(S64:U64)&gt;=2),"ошибка",(IF((AND(COUNTA(P64:R64)=1,P64&gt;0)),P64*60*VLOOKUP(D64,'2Рабочее время'!$A:$L,4,FALSE)*((IF(VLOOKUP(D64,'2Рабочее время'!$A$1:$C$50,2,FALSE)&gt;0,VLOOKUP(D64,'2Рабочее время'!$A$1:$C$50,2,FALSE),VLOOKUP(D64,'2Рабочее время'!$A$1:$C$50,3,FALSE)))),IF((AND(COUNTA(P64:R64)=1,Q64&gt;0)),Q64*((IF(VLOOKUP(D64,'2Рабочее время'!$A$1:$C$50,2,FALSE)&gt;0,VLOOKUP(D64,'2Рабочее время'!$A$1:$C$50,2,FALSE),VLOOKUP(D64,'2Рабочее время'!$A$1:$C$50,3,FALSE)))),IF((AND(COUNTA(P64:R64)=1,R64&gt;0)),R64*O64*IF(N64=0,0,IF(N64="Количество в месяц",1,IF(N64="Количество в неделю",4.285,IF(N64="Количество в день",IF(VLOOKUP(D64,'2Рабочее время'!$A$1:$C$50,2,FALSE)&gt;0,VLOOKUP(D64,'2Рабочее время'!$A$1:$C$50,2,FALSE),VLOOKUP(D64,'2Рабочее время'!$A$1:$C$50,3,FALSE)))))),0)))+IF((AND(COUNTA(S64:U64)=1,S64&gt;0)),S64*60*VLOOKUP(D64,'2Рабочее время'!$A:$L,4,FALSE)*((IF(VLOOKUP(D64,'2Рабочее время'!$A$1:$C$50,2,FALSE)&gt;0,VLOOKUP(D64,'2Рабочее время'!$A$1:$C$50,2,FALSE),VLOOKUP(D64,'2Рабочее время'!$A$1:$C$50,3,FALSE)))),IF((AND(COUNTA(P64:R64)=1,Q64&gt;0)),Q64*((IF(VLOOKUP(D64,'2Рабочее время'!$A$1:$C$50,2,FALSE)&gt;0,VLOOKUP(D64,'2Рабочее время'!$A$1:$C$50,2,FALSE),VLOOKUP(D64,'2Рабочее время'!$A$1:$C$50,3,FALSE)))),IF((AND(COUNTA(S64:U64)=1,T64&gt;0)),T64*((IF(VLOOKUP(D64,'2Рабочее время'!$A$1:$C$50,2,FALSE)&gt;0,VLOOKUP(D64,'2Рабочее время'!$A$1:$C$50,2,FALSE),VLOOKUP(D64,'2Рабочее время'!$A$1:$C$50,3,FALSE)))),IF((AND(COUNTA(S64:U64)=1,U64&gt;0)),U64*O64*IF(N64=0,0,IF(N64="Количество в месяц",1,IF(N64="Количество в неделю",4.285,IF(N64="Количество в день",IF(VLOOKUP(D64,'2Рабочее время'!$A$1:$C$50,2,FALSE)&gt;0,VLOOKUP(D64,'2Рабочее время'!$A$1:$C$50,2,FALSE),VLOOKUP(D64,'2Рабочее время'!$A$1:$C$50,3,FALSE)))))),0))))))</f>
        <v>0</v>
      </c>
      <c r="W64" s="33">
        <v>1</v>
      </c>
      <c r="X64" s="13">
        <f>IF(N64=0,0,IF(N64="Количество в месяц",L64*O64*W64,IF(N64="Количество в неделю",L64*O64*W64*4.285,IF(N64="Количество в день",L64*O64*W64*IF(VLOOKUP(D64,'2Рабочее время'!$A$1:$C$50,2,FALSE)&gt;0,VLOOKUP(D64,'2Рабочее время'!$A$1:$C$50,2,FALSE),VLOOKUP(D64,'2Рабочее время'!$A$1:$C$50,3,FALSE))))))+V64</f>
        <v>0</v>
      </c>
      <c r="Y64" s="13">
        <f t="shared" si="3"/>
        <v>0</v>
      </c>
    </row>
    <row r="65" spans="1:25" ht="54" customHeight="1" x14ac:dyDescent="0.25">
      <c r="A65" s="23">
        <v>64</v>
      </c>
      <c r="B65" s="23"/>
      <c r="C65" s="23"/>
      <c r="D65" s="78"/>
      <c r="E65" s="126"/>
      <c r="F65" s="129">
        <v>1</v>
      </c>
      <c r="G65" s="74"/>
      <c r="H65" s="73"/>
      <c r="I65" s="73"/>
      <c r="J65" s="78"/>
      <c r="K65" s="78"/>
      <c r="L65" s="13">
        <f t="shared" si="1"/>
        <v>0</v>
      </c>
      <c r="M65" s="78"/>
      <c r="N65" s="78"/>
      <c r="O65" s="78"/>
      <c r="P65" s="75"/>
      <c r="Q65" s="63"/>
      <c r="R65" s="63"/>
      <c r="S65" s="77"/>
      <c r="T65" s="63"/>
      <c r="U65" s="63"/>
      <c r="V65" s="71">
        <f>IF(OR(COUNTA(P65:R65)&gt;=2,COUNTA(S65:U65)&gt;=2),"ошибка",(IF((AND(COUNTA(P65:R65)=1,P65&gt;0)),P65*60*VLOOKUP(D65,'2Рабочее время'!$A:$L,4,FALSE)*((IF(VLOOKUP(D65,'2Рабочее время'!$A$1:$C$50,2,FALSE)&gt;0,VLOOKUP(D65,'2Рабочее время'!$A$1:$C$50,2,FALSE),VLOOKUP(D65,'2Рабочее время'!$A$1:$C$50,3,FALSE)))),IF((AND(COUNTA(P65:R65)=1,Q65&gt;0)),Q65*((IF(VLOOKUP(D65,'2Рабочее время'!$A$1:$C$50,2,FALSE)&gt;0,VLOOKUP(D65,'2Рабочее время'!$A$1:$C$50,2,FALSE),VLOOKUP(D65,'2Рабочее время'!$A$1:$C$50,3,FALSE)))),IF((AND(COUNTA(P65:R65)=1,R65&gt;0)),R65*O65*IF(N65=0,0,IF(N65="Количество в месяц",1,IF(N65="Количество в неделю",4.285,IF(N65="Количество в день",IF(VLOOKUP(D65,'2Рабочее время'!$A$1:$C$50,2,FALSE)&gt;0,VLOOKUP(D65,'2Рабочее время'!$A$1:$C$50,2,FALSE),VLOOKUP(D65,'2Рабочее время'!$A$1:$C$50,3,FALSE)))))),0)))+IF((AND(COUNTA(S65:U65)=1,S65&gt;0)),S65*60*VLOOKUP(D65,'2Рабочее время'!$A:$L,4,FALSE)*((IF(VLOOKUP(D65,'2Рабочее время'!$A$1:$C$50,2,FALSE)&gt;0,VLOOKUP(D65,'2Рабочее время'!$A$1:$C$50,2,FALSE),VLOOKUP(D65,'2Рабочее время'!$A$1:$C$50,3,FALSE)))),IF((AND(COUNTA(P65:R65)=1,Q65&gt;0)),Q65*((IF(VLOOKUP(D65,'2Рабочее время'!$A$1:$C$50,2,FALSE)&gt;0,VLOOKUP(D65,'2Рабочее время'!$A$1:$C$50,2,FALSE),VLOOKUP(D65,'2Рабочее время'!$A$1:$C$50,3,FALSE)))),IF((AND(COUNTA(S65:U65)=1,T65&gt;0)),T65*((IF(VLOOKUP(D65,'2Рабочее время'!$A$1:$C$50,2,FALSE)&gt;0,VLOOKUP(D65,'2Рабочее время'!$A$1:$C$50,2,FALSE),VLOOKUP(D65,'2Рабочее время'!$A$1:$C$50,3,FALSE)))),IF((AND(COUNTA(S65:U65)=1,U65&gt;0)),U65*O65*IF(N65=0,0,IF(N65="Количество в месяц",1,IF(N65="Количество в неделю",4.285,IF(N65="Количество в день",IF(VLOOKUP(D65,'2Рабочее время'!$A$1:$C$50,2,FALSE)&gt;0,VLOOKUP(D65,'2Рабочее время'!$A$1:$C$50,2,FALSE),VLOOKUP(D65,'2Рабочее время'!$A$1:$C$50,3,FALSE)))))),0))))))</f>
        <v>0</v>
      </c>
      <c r="W65" s="33">
        <v>1</v>
      </c>
      <c r="X65" s="13">
        <f>IF(N65=0,0,IF(N65="Количество в месяц",L65*O65*W65,IF(N65="Количество в неделю",L65*O65*W65*4.285,IF(N65="Количество в день",L65*O65*W65*IF(VLOOKUP(D65,'2Рабочее время'!$A$1:$C$50,2,FALSE)&gt;0,VLOOKUP(D65,'2Рабочее время'!$A$1:$C$50,2,FALSE),VLOOKUP(D65,'2Рабочее время'!$A$1:$C$50,3,FALSE))))))+V65</f>
        <v>0</v>
      </c>
      <c r="Y65" s="13">
        <f t="shared" si="3"/>
        <v>0</v>
      </c>
    </row>
    <row r="66" spans="1:25" ht="54" customHeight="1" x14ac:dyDescent="0.25">
      <c r="A66" s="23">
        <v>65</v>
      </c>
      <c r="B66" s="23"/>
      <c r="C66" s="23"/>
      <c r="D66" s="78"/>
      <c r="E66" s="126"/>
      <c r="F66" s="129">
        <v>1</v>
      </c>
      <c r="G66" s="74"/>
      <c r="H66" s="73"/>
      <c r="I66" s="73"/>
      <c r="J66" s="78"/>
      <c r="K66" s="78"/>
      <c r="L66" s="13">
        <f t="shared" si="1"/>
        <v>0</v>
      </c>
      <c r="M66" s="78"/>
      <c r="N66" s="78"/>
      <c r="O66" s="78"/>
      <c r="P66" s="75"/>
      <c r="Q66" s="63"/>
      <c r="R66" s="63"/>
      <c r="S66" s="77"/>
      <c r="T66" s="63"/>
      <c r="U66" s="63"/>
      <c r="V66" s="71">
        <f>IF(OR(COUNTA(P66:R66)&gt;=2,COUNTA(S66:U66)&gt;=2),"ошибка",(IF((AND(COUNTA(P66:R66)=1,P66&gt;0)),P66*60*VLOOKUP(D66,'2Рабочее время'!$A:$L,4,FALSE)*((IF(VLOOKUP(D66,'2Рабочее время'!$A$1:$C$50,2,FALSE)&gt;0,VLOOKUP(D66,'2Рабочее время'!$A$1:$C$50,2,FALSE),VLOOKUP(D66,'2Рабочее время'!$A$1:$C$50,3,FALSE)))),IF((AND(COUNTA(P66:R66)=1,Q66&gt;0)),Q66*((IF(VLOOKUP(D66,'2Рабочее время'!$A$1:$C$50,2,FALSE)&gt;0,VLOOKUP(D66,'2Рабочее время'!$A$1:$C$50,2,FALSE),VLOOKUP(D66,'2Рабочее время'!$A$1:$C$50,3,FALSE)))),IF((AND(COUNTA(P66:R66)=1,R66&gt;0)),R66*O66*IF(N66=0,0,IF(N66="Количество в месяц",1,IF(N66="Количество в неделю",4.285,IF(N66="Количество в день",IF(VLOOKUP(D66,'2Рабочее время'!$A$1:$C$50,2,FALSE)&gt;0,VLOOKUP(D66,'2Рабочее время'!$A$1:$C$50,2,FALSE),VLOOKUP(D66,'2Рабочее время'!$A$1:$C$50,3,FALSE)))))),0)))+IF((AND(COUNTA(S66:U66)=1,S66&gt;0)),S66*60*VLOOKUP(D66,'2Рабочее время'!$A:$L,4,FALSE)*((IF(VLOOKUP(D66,'2Рабочее время'!$A$1:$C$50,2,FALSE)&gt;0,VLOOKUP(D66,'2Рабочее время'!$A$1:$C$50,2,FALSE),VLOOKUP(D66,'2Рабочее время'!$A$1:$C$50,3,FALSE)))),IF((AND(COUNTA(P66:R66)=1,Q66&gt;0)),Q66*((IF(VLOOKUP(D66,'2Рабочее время'!$A$1:$C$50,2,FALSE)&gt;0,VLOOKUP(D66,'2Рабочее время'!$A$1:$C$50,2,FALSE),VLOOKUP(D66,'2Рабочее время'!$A$1:$C$50,3,FALSE)))),IF((AND(COUNTA(S66:U66)=1,T66&gt;0)),T66*((IF(VLOOKUP(D66,'2Рабочее время'!$A$1:$C$50,2,FALSE)&gt;0,VLOOKUP(D66,'2Рабочее время'!$A$1:$C$50,2,FALSE),VLOOKUP(D66,'2Рабочее время'!$A$1:$C$50,3,FALSE)))),IF((AND(COUNTA(S66:U66)=1,U66&gt;0)),U66*O66*IF(N66=0,0,IF(N66="Количество в месяц",1,IF(N66="Количество в неделю",4.285,IF(N66="Количество в день",IF(VLOOKUP(D66,'2Рабочее время'!$A$1:$C$50,2,FALSE)&gt;0,VLOOKUP(D66,'2Рабочее время'!$A$1:$C$50,2,FALSE),VLOOKUP(D66,'2Рабочее время'!$A$1:$C$50,3,FALSE)))))),0))))))</f>
        <v>0</v>
      </c>
      <c r="W66" s="33">
        <v>1</v>
      </c>
      <c r="X66" s="13">
        <f>IF(N66=0,0,IF(N66="Количество в месяц",L66*O66*W66,IF(N66="Количество в неделю",L66*O66*W66*4.285,IF(N66="Количество в день",L66*O66*W66*IF(VLOOKUP(D66,'2Рабочее время'!$A$1:$C$50,2,FALSE)&gt;0,VLOOKUP(D66,'2Рабочее время'!$A$1:$C$50,2,FALSE),VLOOKUP(D66,'2Рабочее время'!$A$1:$C$50,3,FALSE))))))+V66</f>
        <v>0</v>
      </c>
      <c r="Y66" s="13">
        <f t="shared" si="3"/>
        <v>0</v>
      </c>
    </row>
    <row r="67" spans="1:25" ht="54" customHeight="1" x14ac:dyDescent="0.25">
      <c r="A67" s="23">
        <v>66</v>
      </c>
      <c r="B67" s="23"/>
      <c r="C67" s="23"/>
      <c r="D67" s="78"/>
      <c r="E67" s="126"/>
      <c r="F67" s="129">
        <v>1</v>
      </c>
      <c r="G67" s="74"/>
      <c r="H67" s="73"/>
      <c r="I67" s="73"/>
      <c r="J67" s="78"/>
      <c r="K67" s="78"/>
      <c r="L67" s="13">
        <f t="shared" ref="L67:L80" si="4">((3*J67+2*K67)/5)*IF(E67=0,1,E67)</f>
        <v>0</v>
      </c>
      <c r="M67" s="78"/>
      <c r="N67" s="78"/>
      <c r="O67" s="78"/>
      <c r="P67" s="75"/>
      <c r="Q67" s="63"/>
      <c r="R67" s="63"/>
      <c r="S67" s="77"/>
      <c r="T67" s="63"/>
      <c r="U67" s="63"/>
      <c r="V67" s="71">
        <f>IF(OR(COUNTA(P67:R67)&gt;=2,COUNTA(S67:U67)&gt;=2),"ошибка",(IF((AND(COUNTA(P67:R67)=1,P67&gt;0)),P67*60*VLOOKUP(D67,'2Рабочее время'!$A:$L,4,FALSE)*((IF(VLOOKUP(D67,'2Рабочее время'!$A$1:$C$50,2,FALSE)&gt;0,VLOOKUP(D67,'2Рабочее время'!$A$1:$C$50,2,FALSE),VLOOKUP(D67,'2Рабочее время'!$A$1:$C$50,3,FALSE)))),IF((AND(COUNTA(P67:R67)=1,Q67&gt;0)),Q67*((IF(VLOOKUP(D67,'2Рабочее время'!$A$1:$C$50,2,FALSE)&gt;0,VLOOKUP(D67,'2Рабочее время'!$A$1:$C$50,2,FALSE),VLOOKUP(D67,'2Рабочее время'!$A$1:$C$50,3,FALSE)))),IF((AND(COUNTA(P67:R67)=1,R67&gt;0)),R67*O67*IF(N67=0,0,IF(N67="Количество в месяц",1,IF(N67="Количество в неделю",4.285,IF(N67="Количество в день",IF(VLOOKUP(D67,'2Рабочее время'!$A$1:$C$50,2,FALSE)&gt;0,VLOOKUP(D67,'2Рабочее время'!$A$1:$C$50,2,FALSE),VLOOKUP(D67,'2Рабочее время'!$A$1:$C$50,3,FALSE)))))),0)))+IF((AND(COUNTA(S67:U67)=1,S67&gt;0)),S67*60*VLOOKUP(D67,'2Рабочее время'!$A:$L,4,FALSE)*((IF(VLOOKUP(D67,'2Рабочее время'!$A$1:$C$50,2,FALSE)&gt;0,VLOOKUP(D67,'2Рабочее время'!$A$1:$C$50,2,FALSE),VLOOKUP(D67,'2Рабочее время'!$A$1:$C$50,3,FALSE)))),IF((AND(COUNTA(P67:R67)=1,Q67&gt;0)),Q67*((IF(VLOOKUP(D67,'2Рабочее время'!$A$1:$C$50,2,FALSE)&gt;0,VLOOKUP(D67,'2Рабочее время'!$A$1:$C$50,2,FALSE),VLOOKUP(D67,'2Рабочее время'!$A$1:$C$50,3,FALSE)))),IF((AND(COUNTA(S67:U67)=1,T67&gt;0)),T67*((IF(VLOOKUP(D67,'2Рабочее время'!$A$1:$C$50,2,FALSE)&gt;0,VLOOKUP(D67,'2Рабочее время'!$A$1:$C$50,2,FALSE),VLOOKUP(D67,'2Рабочее время'!$A$1:$C$50,3,FALSE)))),IF((AND(COUNTA(S67:U67)=1,U67&gt;0)),U67*O67*IF(N67=0,0,IF(N67="Количество в месяц",1,IF(N67="Количество в неделю",4.285,IF(N67="Количество в день",IF(VLOOKUP(D67,'2Рабочее время'!$A$1:$C$50,2,FALSE)&gt;0,VLOOKUP(D67,'2Рабочее время'!$A$1:$C$50,2,FALSE),VLOOKUP(D67,'2Рабочее время'!$A$1:$C$50,3,FALSE)))))),0))))))</f>
        <v>0</v>
      </c>
      <c r="W67" s="33">
        <v>1</v>
      </c>
      <c r="X67" s="13">
        <f>IF(N67=0,0,IF(N67="Количество в месяц",L67*O67*W67,IF(N67="Количество в неделю",L67*O67*W67*4.285,IF(N67="Количество в день",L67*O67*W67*IF(VLOOKUP(D67,'2Рабочее время'!$A$1:$C$50,2,FALSE)&gt;0,VLOOKUP(D67,'2Рабочее время'!$A$1:$C$50,2,FALSE),VLOOKUP(D67,'2Рабочее время'!$A$1:$C$50,3,FALSE))))))+V67</f>
        <v>0</v>
      </c>
      <c r="Y67" s="13">
        <f t="shared" si="3"/>
        <v>0</v>
      </c>
    </row>
    <row r="68" spans="1:25" ht="54" customHeight="1" x14ac:dyDescent="0.25">
      <c r="A68" s="23">
        <v>67</v>
      </c>
      <c r="B68" s="23"/>
      <c r="C68" s="23"/>
      <c r="D68" s="78"/>
      <c r="E68" s="126"/>
      <c r="F68" s="129">
        <v>1</v>
      </c>
      <c r="G68" s="74"/>
      <c r="H68" s="73"/>
      <c r="I68" s="73"/>
      <c r="J68" s="78"/>
      <c r="K68" s="78"/>
      <c r="L68" s="13">
        <f t="shared" si="4"/>
        <v>0</v>
      </c>
      <c r="M68" s="78"/>
      <c r="N68" s="78"/>
      <c r="O68" s="78"/>
      <c r="P68" s="75"/>
      <c r="Q68" s="63"/>
      <c r="R68" s="63"/>
      <c r="S68" s="77"/>
      <c r="T68" s="63"/>
      <c r="U68" s="63"/>
      <c r="V68" s="71">
        <f>IF(OR(COUNTA(P68:R68)&gt;=2,COUNTA(S68:U68)&gt;=2),"ошибка",(IF((AND(COUNTA(P68:R68)=1,P68&gt;0)),P68*60*VLOOKUP(D68,'2Рабочее время'!$A:$L,4,FALSE)*((IF(VLOOKUP(D68,'2Рабочее время'!$A$1:$C$50,2,FALSE)&gt;0,VLOOKUP(D68,'2Рабочее время'!$A$1:$C$50,2,FALSE),VLOOKUP(D68,'2Рабочее время'!$A$1:$C$50,3,FALSE)))),IF((AND(COUNTA(P68:R68)=1,Q68&gt;0)),Q68*((IF(VLOOKUP(D68,'2Рабочее время'!$A$1:$C$50,2,FALSE)&gt;0,VLOOKUP(D68,'2Рабочее время'!$A$1:$C$50,2,FALSE),VLOOKUP(D68,'2Рабочее время'!$A$1:$C$50,3,FALSE)))),IF((AND(COUNTA(P68:R68)=1,R68&gt;0)),R68*O68*IF(N68=0,0,IF(N68="Количество в месяц",1,IF(N68="Количество в неделю",4.285,IF(N68="Количество в день",IF(VLOOKUP(D68,'2Рабочее время'!$A$1:$C$50,2,FALSE)&gt;0,VLOOKUP(D68,'2Рабочее время'!$A$1:$C$50,2,FALSE),VLOOKUP(D68,'2Рабочее время'!$A$1:$C$50,3,FALSE)))))),0)))+IF((AND(COUNTA(S68:U68)=1,S68&gt;0)),S68*60*VLOOKUP(D68,'2Рабочее время'!$A:$L,4,FALSE)*((IF(VLOOKUP(D68,'2Рабочее время'!$A$1:$C$50,2,FALSE)&gt;0,VLOOKUP(D68,'2Рабочее время'!$A$1:$C$50,2,FALSE),VLOOKUP(D68,'2Рабочее время'!$A$1:$C$50,3,FALSE)))),IF((AND(COUNTA(P68:R68)=1,Q68&gt;0)),Q68*((IF(VLOOKUP(D68,'2Рабочее время'!$A$1:$C$50,2,FALSE)&gt;0,VLOOKUP(D68,'2Рабочее время'!$A$1:$C$50,2,FALSE),VLOOKUP(D68,'2Рабочее время'!$A$1:$C$50,3,FALSE)))),IF((AND(COUNTA(S68:U68)=1,T68&gt;0)),T68*((IF(VLOOKUP(D68,'2Рабочее время'!$A$1:$C$50,2,FALSE)&gt;0,VLOOKUP(D68,'2Рабочее время'!$A$1:$C$50,2,FALSE),VLOOKUP(D68,'2Рабочее время'!$A$1:$C$50,3,FALSE)))),IF((AND(COUNTA(S68:U68)=1,U68&gt;0)),U68*O68*IF(N68=0,0,IF(N68="Количество в месяц",1,IF(N68="Количество в неделю",4.285,IF(N68="Количество в день",IF(VLOOKUP(D68,'2Рабочее время'!$A$1:$C$50,2,FALSE)&gt;0,VLOOKUP(D68,'2Рабочее время'!$A$1:$C$50,2,FALSE),VLOOKUP(D68,'2Рабочее время'!$A$1:$C$50,3,FALSE)))))),0))))))</f>
        <v>0</v>
      </c>
      <c r="W68" s="33">
        <v>1</v>
      </c>
      <c r="X68" s="13">
        <f>IF(N68=0,0,IF(N68="Количество в месяц",L68*O68*W68,IF(N68="Количество в неделю",L68*O68*W68*4.285,IF(N68="Количество в день",L68*O68*W68*IF(VLOOKUP(D68,'2Рабочее время'!$A$1:$C$50,2,FALSE)&gt;0,VLOOKUP(D68,'2Рабочее время'!$A$1:$C$50,2,FALSE),VLOOKUP(D68,'2Рабочее время'!$A$1:$C$50,3,FALSE))))))+V68</f>
        <v>0</v>
      </c>
      <c r="Y68" s="13">
        <f t="shared" si="3"/>
        <v>0</v>
      </c>
    </row>
    <row r="69" spans="1:25" ht="54" customHeight="1" x14ac:dyDescent="0.25">
      <c r="A69" s="23">
        <v>68</v>
      </c>
      <c r="B69" s="23"/>
      <c r="C69" s="23"/>
      <c r="D69" s="78"/>
      <c r="E69" s="126"/>
      <c r="F69" s="129">
        <v>1</v>
      </c>
      <c r="G69" s="74"/>
      <c r="H69" s="73"/>
      <c r="I69" s="73"/>
      <c r="J69" s="78"/>
      <c r="K69" s="78"/>
      <c r="L69" s="13">
        <f t="shared" si="4"/>
        <v>0</v>
      </c>
      <c r="M69" s="78"/>
      <c r="N69" s="78"/>
      <c r="O69" s="78"/>
      <c r="P69" s="75"/>
      <c r="Q69" s="63"/>
      <c r="R69" s="63"/>
      <c r="S69" s="77"/>
      <c r="T69" s="63"/>
      <c r="U69" s="63"/>
      <c r="V69" s="71">
        <f>IF(OR(COUNTA(P69:R69)&gt;=2,COUNTA(S69:U69)&gt;=2),"ошибка",(IF((AND(COUNTA(P69:R69)=1,P69&gt;0)),P69*60*VLOOKUP(D69,'2Рабочее время'!$A:$L,4,FALSE)*((IF(VLOOKUP(D69,'2Рабочее время'!$A$1:$C$50,2,FALSE)&gt;0,VLOOKUP(D69,'2Рабочее время'!$A$1:$C$50,2,FALSE),VLOOKUP(D69,'2Рабочее время'!$A$1:$C$50,3,FALSE)))),IF((AND(COUNTA(P69:R69)=1,Q69&gt;0)),Q69*((IF(VLOOKUP(D69,'2Рабочее время'!$A$1:$C$50,2,FALSE)&gt;0,VLOOKUP(D69,'2Рабочее время'!$A$1:$C$50,2,FALSE),VLOOKUP(D69,'2Рабочее время'!$A$1:$C$50,3,FALSE)))),IF((AND(COUNTA(P69:R69)=1,R69&gt;0)),R69*O69*IF(N69=0,0,IF(N69="Количество в месяц",1,IF(N69="Количество в неделю",4.285,IF(N69="Количество в день",IF(VLOOKUP(D69,'2Рабочее время'!$A$1:$C$50,2,FALSE)&gt;0,VLOOKUP(D69,'2Рабочее время'!$A$1:$C$50,2,FALSE),VLOOKUP(D69,'2Рабочее время'!$A$1:$C$50,3,FALSE)))))),0)))+IF((AND(COUNTA(S69:U69)=1,S69&gt;0)),S69*60*VLOOKUP(D69,'2Рабочее время'!$A:$L,4,FALSE)*((IF(VLOOKUP(D69,'2Рабочее время'!$A$1:$C$50,2,FALSE)&gt;0,VLOOKUP(D69,'2Рабочее время'!$A$1:$C$50,2,FALSE),VLOOKUP(D69,'2Рабочее время'!$A$1:$C$50,3,FALSE)))),IF((AND(COUNTA(P69:R69)=1,Q69&gt;0)),Q69*((IF(VLOOKUP(D69,'2Рабочее время'!$A$1:$C$50,2,FALSE)&gt;0,VLOOKUP(D69,'2Рабочее время'!$A$1:$C$50,2,FALSE),VLOOKUP(D69,'2Рабочее время'!$A$1:$C$50,3,FALSE)))),IF((AND(COUNTA(S69:U69)=1,T69&gt;0)),T69*((IF(VLOOKUP(D69,'2Рабочее время'!$A$1:$C$50,2,FALSE)&gt;0,VLOOKUP(D69,'2Рабочее время'!$A$1:$C$50,2,FALSE),VLOOKUP(D69,'2Рабочее время'!$A$1:$C$50,3,FALSE)))),IF((AND(COUNTA(S69:U69)=1,U69&gt;0)),U69*O69*IF(N69=0,0,IF(N69="Количество в месяц",1,IF(N69="Количество в неделю",4.285,IF(N69="Количество в день",IF(VLOOKUP(D69,'2Рабочее время'!$A$1:$C$50,2,FALSE)&gt;0,VLOOKUP(D69,'2Рабочее время'!$A$1:$C$50,2,FALSE),VLOOKUP(D69,'2Рабочее время'!$A$1:$C$50,3,FALSE)))))),0))))))</f>
        <v>0</v>
      </c>
      <c r="W69" s="33">
        <v>1</v>
      </c>
      <c r="X69" s="13">
        <f>IF(N69=0,0,IF(N69="Количество в месяц",L69*O69*W69,IF(N69="Количество в неделю",L69*O69*W69*4.285,IF(N69="Количество в день",L69*O69*W69*IF(VLOOKUP(D69,'2Рабочее время'!$A$1:$C$50,2,FALSE)&gt;0,VLOOKUP(D69,'2Рабочее время'!$A$1:$C$50,2,FALSE),VLOOKUP(D69,'2Рабочее время'!$A$1:$C$50,3,FALSE))))))+V69</f>
        <v>0</v>
      </c>
      <c r="Y69" s="13">
        <f t="shared" si="3"/>
        <v>0</v>
      </c>
    </row>
    <row r="70" spans="1:25" ht="54" customHeight="1" x14ac:dyDescent="0.25">
      <c r="A70" s="23">
        <v>69</v>
      </c>
      <c r="B70" s="23"/>
      <c r="C70" s="23"/>
      <c r="D70" s="78"/>
      <c r="E70" s="126"/>
      <c r="F70" s="129">
        <v>1</v>
      </c>
      <c r="G70" s="74"/>
      <c r="H70" s="73"/>
      <c r="I70" s="73"/>
      <c r="J70" s="78"/>
      <c r="K70" s="78"/>
      <c r="L70" s="13">
        <f t="shared" si="4"/>
        <v>0</v>
      </c>
      <c r="M70" s="78"/>
      <c r="N70" s="78"/>
      <c r="O70" s="78"/>
      <c r="P70" s="75"/>
      <c r="Q70" s="63"/>
      <c r="R70" s="63"/>
      <c r="S70" s="77"/>
      <c r="T70" s="63"/>
      <c r="U70" s="63"/>
      <c r="V70" s="71">
        <f>IF(OR(COUNTA(P70:R70)&gt;=2,COUNTA(S70:U70)&gt;=2),"ошибка",(IF((AND(COUNTA(P70:R70)=1,P70&gt;0)),P70*60*VLOOKUP(D70,'2Рабочее время'!$A:$L,4,FALSE)*((IF(VLOOKUP(D70,'2Рабочее время'!$A$1:$C$50,2,FALSE)&gt;0,VLOOKUP(D70,'2Рабочее время'!$A$1:$C$50,2,FALSE),VLOOKUP(D70,'2Рабочее время'!$A$1:$C$50,3,FALSE)))),IF((AND(COUNTA(P70:R70)=1,Q70&gt;0)),Q70*((IF(VLOOKUP(D70,'2Рабочее время'!$A$1:$C$50,2,FALSE)&gt;0,VLOOKUP(D70,'2Рабочее время'!$A$1:$C$50,2,FALSE),VLOOKUP(D70,'2Рабочее время'!$A$1:$C$50,3,FALSE)))),IF((AND(COUNTA(P70:R70)=1,R70&gt;0)),R70*O70*IF(N70=0,0,IF(N70="Количество в месяц",1,IF(N70="Количество в неделю",4.285,IF(N70="Количество в день",IF(VLOOKUP(D70,'2Рабочее время'!$A$1:$C$50,2,FALSE)&gt;0,VLOOKUP(D70,'2Рабочее время'!$A$1:$C$50,2,FALSE),VLOOKUP(D70,'2Рабочее время'!$A$1:$C$50,3,FALSE)))))),0)))+IF((AND(COUNTA(S70:U70)=1,S70&gt;0)),S70*60*VLOOKUP(D70,'2Рабочее время'!$A:$L,4,FALSE)*((IF(VLOOKUP(D70,'2Рабочее время'!$A$1:$C$50,2,FALSE)&gt;0,VLOOKUP(D70,'2Рабочее время'!$A$1:$C$50,2,FALSE),VLOOKUP(D70,'2Рабочее время'!$A$1:$C$50,3,FALSE)))),IF((AND(COUNTA(P70:R70)=1,Q70&gt;0)),Q70*((IF(VLOOKUP(D70,'2Рабочее время'!$A$1:$C$50,2,FALSE)&gt;0,VLOOKUP(D70,'2Рабочее время'!$A$1:$C$50,2,FALSE),VLOOKUP(D70,'2Рабочее время'!$A$1:$C$50,3,FALSE)))),IF((AND(COUNTA(S70:U70)=1,T70&gt;0)),T70*((IF(VLOOKUP(D70,'2Рабочее время'!$A$1:$C$50,2,FALSE)&gt;0,VLOOKUP(D70,'2Рабочее время'!$A$1:$C$50,2,FALSE),VLOOKUP(D70,'2Рабочее время'!$A$1:$C$50,3,FALSE)))),IF((AND(COUNTA(S70:U70)=1,U70&gt;0)),U70*O70*IF(N70=0,0,IF(N70="Количество в месяц",1,IF(N70="Количество в неделю",4.285,IF(N70="Количество в день",IF(VLOOKUP(D70,'2Рабочее время'!$A$1:$C$50,2,FALSE)&gt;0,VLOOKUP(D70,'2Рабочее время'!$A$1:$C$50,2,FALSE),VLOOKUP(D70,'2Рабочее время'!$A$1:$C$50,3,FALSE)))))),0))))))</f>
        <v>0</v>
      </c>
      <c r="W70" s="33">
        <v>1</v>
      </c>
      <c r="X70" s="13">
        <f>IF(N70=0,0,IF(N70="Количество в месяц",L70*O70*W70,IF(N70="Количество в неделю",L70*O70*W70*4.285,IF(N70="Количество в день",L70*O70*W70*IF(VLOOKUP(D70,'2Рабочее время'!$A$1:$C$50,2,FALSE)&gt;0,VLOOKUP(D70,'2Рабочее время'!$A$1:$C$50,2,FALSE),VLOOKUP(D70,'2Рабочее время'!$A$1:$C$50,3,FALSE))))))+V70</f>
        <v>0</v>
      </c>
      <c r="Y70" s="13">
        <f t="shared" si="3"/>
        <v>0</v>
      </c>
    </row>
    <row r="71" spans="1:25" ht="54" customHeight="1" x14ac:dyDescent="0.25">
      <c r="A71" s="23">
        <v>70</v>
      </c>
      <c r="B71" s="23"/>
      <c r="C71" s="23"/>
      <c r="D71" s="78"/>
      <c r="E71" s="126"/>
      <c r="F71" s="129">
        <v>1</v>
      </c>
      <c r="G71" s="74"/>
      <c r="H71" s="73"/>
      <c r="I71" s="73"/>
      <c r="J71" s="78"/>
      <c r="K71" s="78"/>
      <c r="L71" s="13">
        <f t="shared" si="4"/>
        <v>0</v>
      </c>
      <c r="M71" s="78"/>
      <c r="N71" s="78"/>
      <c r="O71" s="78"/>
      <c r="P71" s="75"/>
      <c r="Q71" s="63"/>
      <c r="R71" s="63"/>
      <c r="S71" s="77"/>
      <c r="T71" s="63"/>
      <c r="U71" s="63"/>
      <c r="V71" s="71">
        <f>IF(OR(COUNTA(P71:R71)&gt;=2,COUNTA(S71:U71)&gt;=2),"ошибка",(IF((AND(COUNTA(P71:R71)=1,P71&gt;0)),P71*60*VLOOKUP(D71,'2Рабочее время'!$A:$L,4,FALSE)*((IF(VLOOKUP(D71,'2Рабочее время'!$A$1:$C$50,2,FALSE)&gt;0,VLOOKUP(D71,'2Рабочее время'!$A$1:$C$50,2,FALSE),VLOOKUP(D71,'2Рабочее время'!$A$1:$C$50,3,FALSE)))),IF((AND(COUNTA(P71:R71)=1,Q71&gt;0)),Q71*((IF(VLOOKUP(D71,'2Рабочее время'!$A$1:$C$50,2,FALSE)&gt;0,VLOOKUP(D71,'2Рабочее время'!$A$1:$C$50,2,FALSE),VLOOKUP(D71,'2Рабочее время'!$A$1:$C$50,3,FALSE)))),IF((AND(COUNTA(P71:R71)=1,R71&gt;0)),R71*O71*IF(N71=0,0,IF(N71="Количество в месяц",1,IF(N71="Количество в неделю",4.285,IF(N71="Количество в день",IF(VLOOKUP(D71,'2Рабочее время'!$A$1:$C$50,2,FALSE)&gt;0,VLOOKUP(D71,'2Рабочее время'!$A$1:$C$50,2,FALSE),VLOOKUP(D71,'2Рабочее время'!$A$1:$C$50,3,FALSE)))))),0)))+IF((AND(COUNTA(S71:U71)=1,S71&gt;0)),S71*60*VLOOKUP(D71,'2Рабочее время'!$A:$L,4,FALSE)*((IF(VLOOKUP(D71,'2Рабочее время'!$A$1:$C$50,2,FALSE)&gt;0,VLOOKUP(D71,'2Рабочее время'!$A$1:$C$50,2,FALSE),VLOOKUP(D71,'2Рабочее время'!$A$1:$C$50,3,FALSE)))),IF((AND(COUNTA(P71:R71)=1,Q71&gt;0)),Q71*((IF(VLOOKUP(D71,'2Рабочее время'!$A$1:$C$50,2,FALSE)&gt;0,VLOOKUP(D71,'2Рабочее время'!$A$1:$C$50,2,FALSE),VLOOKUP(D71,'2Рабочее время'!$A$1:$C$50,3,FALSE)))),IF((AND(COUNTA(S71:U71)=1,T71&gt;0)),T71*((IF(VLOOKUP(D71,'2Рабочее время'!$A$1:$C$50,2,FALSE)&gt;0,VLOOKUP(D71,'2Рабочее время'!$A$1:$C$50,2,FALSE),VLOOKUP(D71,'2Рабочее время'!$A$1:$C$50,3,FALSE)))),IF((AND(COUNTA(S71:U71)=1,U71&gt;0)),U71*O71*IF(N71=0,0,IF(N71="Количество в месяц",1,IF(N71="Количество в неделю",4.285,IF(N71="Количество в день",IF(VLOOKUP(D71,'2Рабочее время'!$A$1:$C$50,2,FALSE)&gt;0,VLOOKUP(D71,'2Рабочее время'!$A$1:$C$50,2,FALSE),VLOOKUP(D71,'2Рабочее время'!$A$1:$C$50,3,FALSE)))))),0))))))</f>
        <v>0</v>
      </c>
      <c r="W71" s="33">
        <v>1</v>
      </c>
      <c r="X71" s="13">
        <f>IF(N71=0,0,IF(N71="Количество в месяц",L71*O71*W71,IF(N71="Количество в неделю",L71*O71*W71*4.285,IF(N71="Количество в день",L71*O71*W71*IF(VLOOKUP(D71,'2Рабочее время'!$A$1:$C$50,2,FALSE)&gt;0,VLOOKUP(D71,'2Рабочее время'!$A$1:$C$50,2,FALSE),VLOOKUP(D71,'2Рабочее время'!$A$1:$C$50,3,FALSE))))))+V71</f>
        <v>0</v>
      </c>
      <c r="Y71" s="13">
        <f t="shared" si="3"/>
        <v>0</v>
      </c>
    </row>
    <row r="72" spans="1:25" ht="54" customHeight="1" x14ac:dyDescent="0.25">
      <c r="A72" s="23">
        <v>71</v>
      </c>
      <c r="B72" s="23"/>
      <c r="C72" s="23"/>
      <c r="D72" s="78"/>
      <c r="E72" s="126"/>
      <c r="F72" s="129">
        <v>1</v>
      </c>
      <c r="G72" s="74"/>
      <c r="H72" s="73"/>
      <c r="I72" s="73"/>
      <c r="J72" s="78"/>
      <c r="K72" s="78"/>
      <c r="L72" s="13">
        <f t="shared" si="4"/>
        <v>0</v>
      </c>
      <c r="M72" s="78"/>
      <c r="N72" s="78"/>
      <c r="O72" s="78"/>
      <c r="P72" s="75"/>
      <c r="Q72" s="63"/>
      <c r="R72" s="63"/>
      <c r="S72" s="77"/>
      <c r="T72" s="63"/>
      <c r="U72" s="63"/>
      <c r="V72" s="71">
        <f>IF(OR(COUNTA(P72:R72)&gt;=2,COUNTA(S72:U72)&gt;=2),"ошибка",(IF((AND(COUNTA(P72:R72)=1,P72&gt;0)),P72*60*VLOOKUP(D72,'2Рабочее время'!$A:$L,4,FALSE)*((IF(VLOOKUP(D72,'2Рабочее время'!$A$1:$C$50,2,FALSE)&gt;0,VLOOKUP(D72,'2Рабочее время'!$A$1:$C$50,2,FALSE),VLOOKUP(D72,'2Рабочее время'!$A$1:$C$50,3,FALSE)))),IF((AND(COUNTA(P72:R72)=1,Q72&gt;0)),Q72*((IF(VLOOKUP(D72,'2Рабочее время'!$A$1:$C$50,2,FALSE)&gt;0,VLOOKUP(D72,'2Рабочее время'!$A$1:$C$50,2,FALSE),VLOOKUP(D72,'2Рабочее время'!$A$1:$C$50,3,FALSE)))),IF((AND(COUNTA(P72:R72)=1,R72&gt;0)),R72*O72*IF(N72=0,0,IF(N72="Количество в месяц",1,IF(N72="Количество в неделю",4.285,IF(N72="Количество в день",IF(VLOOKUP(D72,'2Рабочее время'!$A$1:$C$50,2,FALSE)&gt;0,VLOOKUP(D72,'2Рабочее время'!$A$1:$C$50,2,FALSE),VLOOKUP(D72,'2Рабочее время'!$A$1:$C$50,3,FALSE)))))),0)))+IF((AND(COUNTA(S72:U72)=1,S72&gt;0)),S72*60*VLOOKUP(D72,'2Рабочее время'!$A:$L,4,FALSE)*((IF(VLOOKUP(D72,'2Рабочее время'!$A$1:$C$50,2,FALSE)&gt;0,VLOOKUP(D72,'2Рабочее время'!$A$1:$C$50,2,FALSE),VLOOKUP(D72,'2Рабочее время'!$A$1:$C$50,3,FALSE)))),IF((AND(COUNTA(P72:R72)=1,Q72&gt;0)),Q72*((IF(VLOOKUP(D72,'2Рабочее время'!$A$1:$C$50,2,FALSE)&gt;0,VLOOKUP(D72,'2Рабочее время'!$A$1:$C$50,2,FALSE),VLOOKUP(D72,'2Рабочее время'!$A$1:$C$50,3,FALSE)))),IF((AND(COUNTA(S72:U72)=1,T72&gt;0)),T72*((IF(VLOOKUP(D72,'2Рабочее время'!$A$1:$C$50,2,FALSE)&gt;0,VLOOKUP(D72,'2Рабочее время'!$A$1:$C$50,2,FALSE),VLOOKUP(D72,'2Рабочее время'!$A$1:$C$50,3,FALSE)))),IF((AND(COUNTA(S72:U72)=1,U72&gt;0)),U72*O72*IF(N72=0,0,IF(N72="Количество в месяц",1,IF(N72="Количество в неделю",4.285,IF(N72="Количество в день",IF(VLOOKUP(D72,'2Рабочее время'!$A$1:$C$50,2,FALSE)&gt;0,VLOOKUP(D72,'2Рабочее время'!$A$1:$C$50,2,FALSE),VLOOKUP(D72,'2Рабочее время'!$A$1:$C$50,3,FALSE)))))),0))))))</f>
        <v>0</v>
      </c>
      <c r="W72" s="33">
        <v>1</v>
      </c>
      <c r="X72" s="13">
        <f>IF(N72=0,0,IF(N72="Количество в месяц",L72*O72*W72,IF(N72="Количество в неделю",L72*O72*W72*4.285,IF(N72="Количество в день",L72*O72*W72*IF(VLOOKUP(D72,'2Рабочее время'!$A$1:$C$50,2,FALSE)&gt;0,VLOOKUP(D72,'2Рабочее время'!$A$1:$C$50,2,FALSE),VLOOKUP(D72,'2Рабочее время'!$A$1:$C$50,3,FALSE))))))+V72</f>
        <v>0</v>
      </c>
      <c r="Y72" s="13">
        <f t="shared" ref="Y72:Y80" si="5">X72/60</f>
        <v>0</v>
      </c>
    </row>
    <row r="73" spans="1:25" ht="54" customHeight="1" x14ac:dyDescent="0.25">
      <c r="A73" s="23">
        <v>72</v>
      </c>
      <c r="B73" s="23"/>
      <c r="C73" s="23"/>
      <c r="D73" s="78"/>
      <c r="E73" s="126"/>
      <c r="F73" s="129">
        <v>1</v>
      </c>
      <c r="G73" s="74"/>
      <c r="H73" s="73"/>
      <c r="I73" s="73"/>
      <c r="J73" s="78"/>
      <c r="K73" s="78"/>
      <c r="L73" s="13">
        <f t="shared" si="4"/>
        <v>0</v>
      </c>
      <c r="M73" s="78"/>
      <c r="N73" s="78"/>
      <c r="O73" s="78"/>
      <c r="P73" s="75"/>
      <c r="Q73" s="63"/>
      <c r="R73" s="63"/>
      <c r="S73" s="77"/>
      <c r="T73" s="63"/>
      <c r="U73" s="63"/>
      <c r="V73" s="71">
        <f>IF(OR(COUNTA(P73:R73)&gt;=2,COUNTA(S73:U73)&gt;=2),"ошибка",(IF((AND(COUNTA(P73:R73)=1,P73&gt;0)),P73*60*VLOOKUP(D73,'2Рабочее время'!$A:$L,4,FALSE)*((IF(VLOOKUP(D73,'2Рабочее время'!$A$1:$C$50,2,FALSE)&gt;0,VLOOKUP(D73,'2Рабочее время'!$A$1:$C$50,2,FALSE),VLOOKUP(D73,'2Рабочее время'!$A$1:$C$50,3,FALSE)))),IF((AND(COUNTA(P73:R73)=1,Q73&gt;0)),Q73*((IF(VLOOKUP(D73,'2Рабочее время'!$A$1:$C$50,2,FALSE)&gt;0,VLOOKUP(D73,'2Рабочее время'!$A$1:$C$50,2,FALSE),VLOOKUP(D73,'2Рабочее время'!$A$1:$C$50,3,FALSE)))),IF((AND(COUNTA(P73:R73)=1,R73&gt;0)),R73*O73*IF(N73=0,0,IF(N73="Количество в месяц",1,IF(N73="Количество в неделю",4.285,IF(N73="Количество в день",IF(VLOOKUP(D73,'2Рабочее время'!$A$1:$C$50,2,FALSE)&gt;0,VLOOKUP(D73,'2Рабочее время'!$A$1:$C$50,2,FALSE),VLOOKUP(D73,'2Рабочее время'!$A$1:$C$50,3,FALSE)))))),0)))+IF((AND(COUNTA(S73:U73)=1,S73&gt;0)),S73*60*VLOOKUP(D73,'2Рабочее время'!$A:$L,4,FALSE)*((IF(VLOOKUP(D73,'2Рабочее время'!$A$1:$C$50,2,FALSE)&gt;0,VLOOKUP(D73,'2Рабочее время'!$A$1:$C$50,2,FALSE),VLOOKUP(D73,'2Рабочее время'!$A$1:$C$50,3,FALSE)))),IF((AND(COUNTA(P73:R73)=1,Q73&gt;0)),Q73*((IF(VLOOKUP(D73,'2Рабочее время'!$A$1:$C$50,2,FALSE)&gt;0,VLOOKUP(D73,'2Рабочее время'!$A$1:$C$50,2,FALSE),VLOOKUP(D73,'2Рабочее время'!$A$1:$C$50,3,FALSE)))),IF((AND(COUNTA(S73:U73)=1,T73&gt;0)),T73*((IF(VLOOKUP(D73,'2Рабочее время'!$A$1:$C$50,2,FALSE)&gt;0,VLOOKUP(D73,'2Рабочее время'!$A$1:$C$50,2,FALSE),VLOOKUP(D73,'2Рабочее время'!$A$1:$C$50,3,FALSE)))),IF((AND(COUNTA(S73:U73)=1,U73&gt;0)),U73*O73*IF(N73=0,0,IF(N73="Количество в месяц",1,IF(N73="Количество в неделю",4.285,IF(N73="Количество в день",IF(VLOOKUP(D73,'2Рабочее время'!$A$1:$C$50,2,FALSE)&gt;0,VLOOKUP(D73,'2Рабочее время'!$A$1:$C$50,2,FALSE),VLOOKUP(D73,'2Рабочее время'!$A$1:$C$50,3,FALSE)))))),0))))))</f>
        <v>0</v>
      </c>
      <c r="W73" s="33">
        <v>1</v>
      </c>
      <c r="X73" s="13">
        <f>IF(N73=0,0,IF(N73="Количество в месяц",L73*O73*W73,IF(N73="Количество в неделю",L73*O73*W73*4.285,IF(N73="Количество в день",L73*O73*W73*IF(VLOOKUP(D73,'2Рабочее время'!$A$1:$C$50,2,FALSE)&gt;0,VLOOKUP(D73,'2Рабочее время'!$A$1:$C$50,2,FALSE),VLOOKUP(D73,'2Рабочее время'!$A$1:$C$50,3,FALSE))))))+V73</f>
        <v>0</v>
      </c>
      <c r="Y73" s="13">
        <f t="shared" si="5"/>
        <v>0</v>
      </c>
    </row>
    <row r="74" spans="1:25" ht="54" customHeight="1" x14ac:dyDescent="0.25">
      <c r="A74" s="23">
        <v>73</v>
      </c>
      <c r="B74" s="23"/>
      <c r="C74" s="23"/>
      <c r="D74" s="78"/>
      <c r="E74" s="126"/>
      <c r="F74" s="129">
        <v>1</v>
      </c>
      <c r="G74" s="74"/>
      <c r="H74" s="73"/>
      <c r="I74" s="73"/>
      <c r="J74" s="78"/>
      <c r="K74" s="78"/>
      <c r="L74" s="13">
        <f t="shared" si="4"/>
        <v>0</v>
      </c>
      <c r="M74" s="78"/>
      <c r="N74" s="78"/>
      <c r="O74" s="78"/>
      <c r="P74" s="75"/>
      <c r="Q74" s="63"/>
      <c r="R74" s="63"/>
      <c r="S74" s="77"/>
      <c r="T74" s="63"/>
      <c r="U74" s="63"/>
      <c r="V74" s="71">
        <f>IF(OR(COUNTA(P74:R74)&gt;=2,COUNTA(S74:U74)&gt;=2),"ошибка",(IF((AND(COUNTA(P74:R74)=1,P74&gt;0)),P74*60*VLOOKUP(D74,'2Рабочее время'!$A:$L,4,FALSE)*((IF(VLOOKUP(D74,'2Рабочее время'!$A$1:$C$50,2,FALSE)&gt;0,VLOOKUP(D74,'2Рабочее время'!$A$1:$C$50,2,FALSE),VLOOKUP(D74,'2Рабочее время'!$A$1:$C$50,3,FALSE)))),IF((AND(COUNTA(P74:R74)=1,Q74&gt;0)),Q74*((IF(VLOOKUP(D74,'2Рабочее время'!$A$1:$C$50,2,FALSE)&gt;0,VLOOKUP(D74,'2Рабочее время'!$A$1:$C$50,2,FALSE),VLOOKUP(D74,'2Рабочее время'!$A$1:$C$50,3,FALSE)))),IF((AND(COUNTA(P74:R74)=1,R74&gt;0)),R74*O74*IF(N74=0,0,IF(N74="Количество в месяц",1,IF(N74="Количество в неделю",4.285,IF(N74="Количество в день",IF(VLOOKUP(D74,'2Рабочее время'!$A$1:$C$50,2,FALSE)&gt;0,VLOOKUP(D74,'2Рабочее время'!$A$1:$C$50,2,FALSE),VLOOKUP(D74,'2Рабочее время'!$A$1:$C$50,3,FALSE)))))),0)))+IF((AND(COUNTA(S74:U74)=1,S74&gt;0)),S74*60*VLOOKUP(D74,'2Рабочее время'!$A:$L,4,FALSE)*((IF(VLOOKUP(D74,'2Рабочее время'!$A$1:$C$50,2,FALSE)&gt;0,VLOOKUP(D74,'2Рабочее время'!$A$1:$C$50,2,FALSE),VLOOKUP(D74,'2Рабочее время'!$A$1:$C$50,3,FALSE)))),IF((AND(COUNTA(P74:R74)=1,Q74&gt;0)),Q74*((IF(VLOOKUP(D74,'2Рабочее время'!$A$1:$C$50,2,FALSE)&gt;0,VLOOKUP(D74,'2Рабочее время'!$A$1:$C$50,2,FALSE),VLOOKUP(D74,'2Рабочее время'!$A$1:$C$50,3,FALSE)))),IF((AND(COUNTA(S74:U74)=1,T74&gt;0)),T74*((IF(VLOOKUP(D74,'2Рабочее время'!$A$1:$C$50,2,FALSE)&gt;0,VLOOKUP(D74,'2Рабочее время'!$A$1:$C$50,2,FALSE),VLOOKUP(D74,'2Рабочее время'!$A$1:$C$50,3,FALSE)))),IF((AND(COUNTA(S74:U74)=1,U74&gt;0)),U74*O74*IF(N74=0,0,IF(N74="Количество в месяц",1,IF(N74="Количество в неделю",4.285,IF(N74="Количество в день",IF(VLOOKUP(D74,'2Рабочее время'!$A$1:$C$50,2,FALSE)&gt;0,VLOOKUP(D74,'2Рабочее время'!$A$1:$C$50,2,FALSE),VLOOKUP(D74,'2Рабочее время'!$A$1:$C$50,3,FALSE)))))),0))))))</f>
        <v>0</v>
      </c>
      <c r="W74" s="33">
        <v>1</v>
      </c>
      <c r="X74" s="13">
        <f>IF(N74=0,0,IF(N74="Количество в месяц",L74*O74*W74,IF(N74="Количество в неделю",L74*O74*W74*4.285,IF(N74="Количество в день",L74*O74*W74*IF(VLOOKUP(D74,'2Рабочее время'!$A$1:$C$50,2,FALSE)&gt;0,VLOOKUP(D74,'2Рабочее время'!$A$1:$C$50,2,FALSE),VLOOKUP(D74,'2Рабочее время'!$A$1:$C$50,3,FALSE))))))+V74</f>
        <v>0</v>
      </c>
      <c r="Y74" s="13">
        <f t="shared" si="5"/>
        <v>0</v>
      </c>
    </row>
    <row r="75" spans="1:25" ht="54" customHeight="1" x14ac:dyDescent="0.25">
      <c r="A75" s="23">
        <v>74</v>
      </c>
      <c r="B75" s="23"/>
      <c r="C75" s="23"/>
      <c r="D75" s="78"/>
      <c r="E75" s="126"/>
      <c r="F75" s="129">
        <v>1</v>
      </c>
      <c r="G75" s="74"/>
      <c r="H75" s="73"/>
      <c r="I75" s="73"/>
      <c r="J75" s="78"/>
      <c r="K75" s="78"/>
      <c r="L75" s="13">
        <f t="shared" si="4"/>
        <v>0</v>
      </c>
      <c r="M75" s="78"/>
      <c r="N75" s="78"/>
      <c r="O75" s="78"/>
      <c r="P75" s="75"/>
      <c r="Q75" s="63"/>
      <c r="R75" s="63"/>
      <c r="S75" s="77"/>
      <c r="T75" s="63"/>
      <c r="U75" s="63"/>
      <c r="V75" s="71">
        <f>IF(OR(COUNTA(P75:R75)&gt;=2,COUNTA(S75:U75)&gt;=2),"ошибка",(IF((AND(COUNTA(P75:R75)=1,P75&gt;0)),P75*60*VLOOKUP(D75,'2Рабочее время'!$A:$L,4,FALSE)*((IF(VLOOKUP(D75,'2Рабочее время'!$A$1:$C$50,2,FALSE)&gt;0,VLOOKUP(D75,'2Рабочее время'!$A$1:$C$50,2,FALSE),VLOOKUP(D75,'2Рабочее время'!$A$1:$C$50,3,FALSE)))),IF((AND(COUNTA(P75:R75)=1,Q75&gt;0)),Q75*((IF(VLOOKUP(D75,'2Рабочее время'!$A$1:$C$50,2,FALSE)&gt;0,VLOOKUP(D75,'2Рабочее время'!$A$1:$C$50,2,FALSE),VLOOKUP(D75,'2Рабочее время'!$A$1:$C$50,3,FALSE)))),IF((AND(COUNTA(P75:R75)=1,R75&gt;0)),R75*O75*IF(N75=0,0,IF(N75="Количество в месяц",1,IF(N75="Количество в неделю",4.285,IF(N75="Количество в день",IF(VLOOKUP(D75,'2Рабочее время'!$A$1:$C$50,2,FALSE)&gt;0,VLOOKUP(D75,'2Рабочее время'!$A$1:$C$50,2,FALSE),VLOOKUP(D75,'2Рабочее время'!$A$1:$C$50,3,FALSE)))))),0)))+IF((AND(COUNTA(S75:U75)=1,S75&gt;0)),S75*60*VLOOKUP(D75,'2Рабочее время'!$A:$L,4,FALSE)*((IF(VLOOKUP(D75,'2Рабочее время'!$A$1:$C$50,2,FALSE)&gt;0,VLOOKUP(D75,'2Рабочее время'!$A$1:$C$50,2,FALSE),VLOOKUP(D75,'2Рабочее время'!$A$1:$C$50,3,FALSE)))),IF((AND(COUNTA(P75:R75)=1,Q75&gt;0)),Q75*((IF(VLOOKUP(D75,'2Рабочее время'!$A$1:$C$50,2,FALSE)&gt;0,VLOOKUP(D75,'2Рабочее время'!$A$1:$C$50,2,FALSE),VLOOKUP(D75,'2Рабочее время'!$A$1:$C$50,3,FALSE)))),IF((AND(COUNTA(S75:U75)=1,T75&gt;0)),T75*((IF(VLOOKUP(D75,'2Рабочее время'!$A$1:$C$50,2,FALSE)&gt;0,VLOOKUP(D75,'2Рабочее время'!$A$1:$C$50,2,FALSE),VLOOKUP(D75,'2Рабочее время'!$A$1:$C$50,3,FALSE)))),IF((AND(COUNTA(S75:U75)=1,U75&gt;0)),U75*O75*IF(N75=0,0,IF(N75="Количество в месяц",1,IF(N75="Количество в неделю",4.285,IF(N75="Количество в день",IF(VLOOKUP(D75,'2Рабочее время'!$A$1:$C$50,2,FALSE)&gt;0,VLOOKUP(D75,'2Рабочее время'!$A$1:$C$50,2,FALSE),VLOOKUP(D75,'2Рабочее время'!$A$1:$C$50,3,FALSE)))))),0))))))</f>
        <v>0</v>
      </c>
      <c r="W75" s="33">
        <v>1</v>
      </c>
      <c r="X75" s="13">
        <f>IF(N75=0,0,IF(N75="Количество в месяц",L75*O75*W75,IF(N75="Количество в неделю",L75*O75*W75*4.285,IF(N75="Количество в день",L75*O75*W75*IF(VLOOKUP(D75,'2Рабочее время'!$A$1:$C$50,2,FALSE)&gt;0,VLOOKUP(D75,'2Рабочее время'!$A$1:$C$50,2,FALSE),VLOOKUP(D75,'2Рабочее время'!$A$1:$C$50,3,FALSE))))))+V75</f>
        <v>0</v>
      </c>
      <c r="Y75" s="13">
        <f t="shared" si="5"/>
        <v>0</v>
      </c>
    </row>
    <row r="76" spans="1:25" ht="54" customHeight="1" x14ac:dyDescent="0.25">
      <c r="A76" s="23">
        <v>75</v>
      </c>
      <c r="B76" s="23"/>
      <c r="C76" s="23"/>
      <c r="D76" s="78"/>
      <c r="E76" s="126"/>
      <c r="F76" s="129">
        <v>1</v>
      </c>
      <c r="G76" s="74"/>
      <c r="H76" s="73"/>
      <c r="I76" s="73"/>
      <c r="J76" s="78"/>
      <c r="K76" s="78"/>
      <c r="L76" s="13">
        <f t="shared" si="4"/>
        <v>0</v>
      </c>
      <c r="M76" s="78"/>
      <c r="N76" s="78"/>
      <c r="O76" s="78"/>
      <c r="P76" s="75"/>
      <c r="Q76" s="63"/>
      <c r="R76" s="63"/>
      <c r="S76" s="77"/>
      <c r="T76" s="63"/>
      <c r="U76" s="63"/>
      <c r="V76" s="71">
        <f>IF(OR(COUNTA(P76:R76)&gt;=2,COUNTA(S76:U76)&gt;=2),"ошибка",(IF((AND(COUNTA(P76:R76)=1,P76&gt;0)),P76*60*VLOOKUP(D76,'2Рабочее время'!$A:$L,4,FALSE)*((IF(VLOOKUP(D76,'2Рабочее время'!$A$1:$C$50,2,FALSE)&gt;0,VLOOKUP(D76,'2Рабочее время'!$A$1:$C$50,2,FALSE),VLOOKUP(D76,'2Рабочее время'!$A$1:$C$50,3,FALSE)))),IF((AND(COUNTA(P76:R76)=1,Q76&gt;0)),Q76*((IF(VLOOKUP(D76,'2Рабочее время'!$A$1:$C$50,2,FALSE)&gt;0,VLOOKUP(D76,'2Рабочее время'!$A$1:$C$50,2,FALSE),VLOOKUP(D76,'2Рабочее время'!$A$1:$C$50,3,FALSE)))),IF((AND(COUNTA(P76:R76)=1,R76&gt;0)),R76*O76*IF(N76=0,0,IF(N76="Количество в месяц",1,IF(N76="Количество в неделю",4.285,IF(N76="Количество в день",IF(VLOOKUP(D76,'2Рабочее время'!$A$1:$C$50,2,FALSE)&gt;0,VLOOKUP(D76,'2Рабочее время'!$A$1:$C$50,2,FALSE),VLOOKUP(D76,'2Рабочее время'!$A$1:$C$50,3,FALSE)))))),0)))+IF((AND(COUNTA(S76:U76)=1,S76&gt;0)),S76*60*VLOOKUP(D76,'2Рабочее время'!$A:$L,4,FALSE)*((IF(VLOOKUP(D76,'2Рабочее время'!$A$1:$C$50,2,FALSE)&gt;0,VLOOKUP(D76,'2Рабочее время'!$A$1:$C$50,2,FALSE),VLOOKUP(D76,'2Рабочее время'!$A$1:$C$50,3,FALSE)))),IF((AND(COUNTA(P76:R76)=1,Q76&gt;0)),Q76*((IF(VLOOKUP(D76,'2Рабочее время'!$A$1:$C$50,2,FALSE)&gt;0,VLOOKUP(D76,'2Рабочее время'!$A$1:$C$50,2,FALSE),VLOOKUP(D76,'2Рабочее время'!$A$1:$C$50,3,FALSE)))),IF((AND(COUNTA(S76:U76)=1,T76&gt;0)),T76*((IF(VLOOKUP(D76,'2Рабочее время'!$A$1:$C$50,2,FALSE)&gt;0,VLOOKUP(D76,'2Рабочее время'!$A$1:$C$50,2,FALSE),VLOOKUP(D76,'2Рабочее время'!$A$1:$C$50,3,FALSE)))),IF((AND(COUNTA(S76:U76)=1,U76&gt;0)),U76*O76*IF(N76=0,0,IF(N76="Количество в месяц",1,IF(N76="Количество в неделю",4.285,IF(N76="Количество в день",IF(VLOOKUP(D76,'2Рабочее время'!$A$1:$C$50,2,FALSE)&gt;0,VLOOKUP(D76,'2Рабочее время'!$A$1:$C$50,2,FALSE),VLOOKUP(D76,'2Рабочее время'!$A$1:$C$50,3,FALSE)))))),0))))))</f>
        <v>0</v>
      </c>
      <c r="W76" s="33">
        <v>1</v>
      </c>
      <c r="X76" s="13">
        <f>IF(N76=0,0,IF(N76="Количество в месяц",L76*O76*W76,IF(N76="Количество в неделю",L76*O76*W76*4.285,IF(N76="Количество в день",L76*O76*W76*IF(VLOOKUP(D76,'2Рабочее время'!$A$1:$C$50,2,FALSE)&gt;0,VLOOKUP(D76,'2Рабочее время'!$A$1:$C$50,2,FALSE),VLOOKUP(D76,'2Рабочее время'!$A$1:$C$50,3,FALSE))))))+V76</f>
        <v>0</v>
      </c>
      <c r="Y76" s="13">
        <f t="shared" si="5"/>
        <v>0</v>
      </c>
    </row>
    <row r="77" spans="1:25" ht="54" customHeight="1" x14ac:dyDescent="0.25">
      <c r="A77" s="23">
        <v>76</v>
      </c>
      <c r="B77" s="23"/>
      <c r="C77" s="23"/>
      <c r="D77" s="78"/>
      <c r="E77" s="126"/>
      <c r="F77" s="129">
        <v>1</v>
      </c>
      <c r="G77" s="74"/>
      <c r="H77" s="73"/>
      <c r="I77" s="73"/>
      <c r="J77" s="78"/>
      <c r="K77" s="78"/>
      <c r="L77" s="13">
        <f t="shared" si="4"/>
        <v>0</v>
      </c>
      <c r="M77" s="78"/>
      <c r="N77" s="78"/>
      <c r="O77" s="78"/>
      <c r="P77" s="75"/>
      <c r="Q77" s="63"/>
      <c r="R77" s="63"/>
      <c r="S77" s="77"/>
      <c r="T77" s="63"/>
      <c r="U77" s="63"/>
      <c r="V77" s="71">
        <f>IF(OR(COUNTA(P77:R77)&gt;=2,COUNTA(S77:U77)&gt;=2),"ошибка",(IF((AND(COUNTA(P77:R77)=1,P77&gt;0)),P77*60*VLOOKUP(D77,'2Рабочее время'!$A:$L,4,FALSE)*((IF(VLOOKUP(D77,'2Рабочее время'!$A$1:$C$50,2,FALSE)&gt;0,VLOOKUP(D77,'2Рабочее время'!$A$1:$C$50,2,FALSE),VLOOKUP(D77,'2Рабочее время'!$A$1:$C$50,3,FALSE)))),IF((AND(COUNTA(P77:R77)=1,Q77&gt;0)),Q77*((IF(VLOOKUP(D77,'2Рабочее время'!$A$1:$C$50,2,FALSE)&gt;0,VLOOKUP(D77,'2Рабочее время'!$A$1:$C$50,2,FALSE),VLOOKUP(D77,'2Рабочее время'!$A$1:$C$50,3,FALSE)))),IF((AND(COUNTA(P77:R77)=1,R77&gt;0)),R77*O77*IF(N77=0,0,IF(N77="Количество в месяц",1,IF(N77="Количество в неделю",4.285,IF(N77="Количество в день",IF(VLOOKUP(D77,'2Рабочее время'!$A$1:$C$50,2,FALSE)&gt;0,VLOOKUP(D77,'2Рабочее время'!$A$1:$C$50,2,FALSE),VLOOKUP(D77,'2Рабочее время'!$A$1:$C$50,3,FALSE)))))),0)))+IF((AND(COUNTA(S77:U77)=1,S77&gt;0)),S77*60*VLOOKUP(D77,'2Рабочее время'!$A:$L,4,FALSE)*((IF(VLOOKUP(D77,'2Рабочее время'!$A$1:$C$50,2,FALSE)&gt;0,VLOOKUP(D77,'2Рабочее время'!$A$1:$C$50,2,FALSE),VLOOKUP(D77,'2Рабочее время'!$A$1:$C$50,3,FALSE)))),IF((AND(COUNTA(P77:R77)=1,Q77&gt;0)),Q77*((IF(VLOOKUP(D77,'2Рабочее время'!$A$1:$C$50,2,FALSE)&gt;0,VLOOKUP(D77,'2Рабочее время'!$A$1:$C$50,2,FALSE),VLOOKUP(D77,'2Рабочее время'!$A$1:$C$50,3,FALSE)))),IF((AND(COUNTA(S77:U77)=1,T77&gt;0)),T77*((IF(VLOOKUP(D77,'2Рабочее время'!$A$1:$C$50,2,FALSE)&gt;0,VLOOKUP(D77,'2Рабочее время'!$A$1:$C$50,2,FALSE),VLOOKUP(D77,'2Рабочее время'!$A$1:$C$50,3,FALSE)))),IF((AND(COUNTA(S77:U77)=1,U77&gt;0)),U77*O77*IF(N77=0,0,IF(N77="Количество в месяц",1,IF(N77="Количество в неделю",4.285,IF(N77="Количество в день",IF(VLOOKUP(D77,'2Рабочее время'!$A$1:$C$50,2,FALSE)&gt;0,VLOOKUP(D77,'2Рабочее время'!$A$1:$C$50,2,FALSE),VLOOKUP(D77,'2Рабочее время'!$A$1:$C$50,3,FALSE)))))),0))))))</f>
        <v>0</v>
      </c>
      <c r="W77" s="33">
        <v>1</v>
      </c>
      <c r="X77" s="13">
        <f>IF(N77=0,0,IF(N77="Количество в месяц",L77*O77*W77,IF(N77="Количество в неделю",L77*O77*W77*4.285,IF(N77="Количество в день",L77*O77*W77*IF(VLOOKUP(D77,'2Рабочее время'!$A$1:$C$50,2,FALSE)&gt;0,VLOOKUP(D77,'2Рабочее время'!$A$1:$C$50,2,FALSE),VLOOKUP(D77,'2Рабочее время'!$A$1:$C$50,3,FALSE))))))+V77</f>
        <v>0</v>
      </c>
      <c r="Y77" s="13">
        <f t="shared" si="5"/>
        <v>0</v>
      </c>
    </row>
    <row r="78" spans="1:25" ht="54" customHeight="1" x14ac:dyDescent="0.25">
      <c r="A78" s="23">
        <v>77</v>
      </c>
      <c r="B78" s="23"/>
      <c r="C78" s="23"/>
      <c r="D78" s="78"/>
      <c r="E78" s="126"/>
      <c r="F78" s="129">
        <v>1</v>
      </c>
      <c r="G78" s="74"/>
      <c r="H78" s="73"/>
      <c r="I78" s="73"/>
      <c r="J78" s="78"/>
      <c r="K78" s="78"/>
      <c r="L78" s="13">
        <f t="shared" si="4"/>
        <v>0</v>
      </c>
      <c r="M78" s="78"/>
      <c r="N78" s="78"/>
      <c r="O78" s="78"/>
      <c r="P78" s="75"/>
      <c r="Q78" s="63"/>
      <c r="R78" s="63"/>
      <c r="S78" s="77"/>
      <c r="T78" s="63"/>
      <c r="U78" s="63"/>
      <c r="V78" s="71">
        <f>IF(OR(COUNTA(P78:R78)&gt;=2,COUNTA(S78:U78)&gt;=2),"ошибка",(IF((AND(COUNTA(P78:R78)=1,P78&gt;0)),P78*60*VLOOKUP(D78,'2Рабочее время'!$A:$L,4,FALSE)*((IF(VLOOKUP(D78,'2Рабочее время'!$A$1:$C$50,2,FALSE)&gt;0,VLOOKUP(D78,'2Рабочее время'!$A$1:$C$50,2,FALSE),VLOOKUP(D78,'2Рабочее время'!$A$1:$C$50,3,FALSE)))),IF((AND(COUNTA(P78:R78)=1,Q78&gt;0)),Q78*((IF(VLOOKUP(D78,'2Рабочее время'!$A$1:$C$50,2,FALSE)&gt;0,VLOOKUP(D78,'2Рабочее время'!$A$1:$C$50,2,FALSE),VLOOKUP(D78,'2Рабочее время'!$A$1:$C$50,3,FALSE)))),IF((AND(COUNTA(P78:R78)=1,R78&gt;0)),R78*O78*IF(N78=0,0,IF(N78="Количество в месяц",1,IF(N78="Количество в неделю",4.285,IF(N78="Количество в день",IF(VLOOKUP(D78,'2Рабочее время'!$A$1:$C$50,2,FALSE)&gt;0,VLOOKUP(D78,'2Рабочее время'!$A$1:$C$50,2,FALSE),VLOOKUP(D78,'2Рабочее время'!$A$1:$C$50,3,FALSE)))))),0)))+IF((AND(COUNTA(S78:U78)=1,S78&gt;0)),S78*60*VLOOKUP(D78,'2Рабочее время'!$A:$L,4,FALSE)*((IF(VLOOKUP(D78,'2Рабочее время'!$A$1:$C$50,2,FALSE)&gt;0,VLOOKUP(D78,'2Рабочее время'!$A$1:$C$50,2,FALSE),VLOOKUP(D78,'2Рабочее время'!$A$1:$C$50,3,FALSE)))),IF((AND(COUNTA(P78:R78)=1,Q78&gt;0)),Q78*((IF(VLOOKUP(D78,'2Рабочее время'!$A$1:$C$50,2,FALSE)&gt;0,VLOOKUP(D78,'2Рабочее время'!$A$1:$C$50,2,FALSE),VLOOKUP(D78,'2Рабочее время'!$A$1:$C$50,3,FALSE)))),IF((AND(COUNTA(S78:U78)=1,T78&gt;0)),T78*((IF(VLOOKUP(D78,'2Рабочее время'!$A$1:$C$50,2,FALSE)&gt;0,VLOOKUP(D78,'2Рабочее время'!$A$1:$C$50,2,FALSE),VLOOKUP(D78,'2Рабочее время'!$A$1:$C$50,3,FALSE)))),IF((AND(COUNTA(S78:U78)=1,U78&gt;0)),U78*O78*IF(N78=0,0,IF(N78="Количество в месяц",1,IF(N78="Количество в неделю",4.285,IF(N78="Количество в день",IF(VLOOKUP(D78,'2Рабочее время'!$A$1:$C$50,2,FALSE)&gt;0,VLOOKUP(D78,'2Рабочее время'!$A$1:$C$50,2,FALSE),VLOOKUP(D78,'2Рабочее время'!$A$1:$C$50,3,FALSE)))))),0))))))</f>
        <v>0</v>
      </c>
      <c r="W78" s="33">
        <v>1</v>
      </c>
      <c r="X78" s="13">
        <f>IF(N78=0,0,IF(N78="Количество в месяц",L78*O78*W78,IF(N78="Количество в неделю",L78*O78*W78*4.285,IF(N78="Количество в день",L78*O78*W78*IF(VLOOKUP(D78,'2Рабочее время'!$A$1:$C$50,2,FALSE)&gt;0,VLOOKUP(D78,'2Рабочее время'!$A$1:$C$50,2,FALSE),VLOOKUP(D78,'2Рабочее время'!$A$1:$C$50,3,FALSE))))))+V78</f>
        <v>0</v>
      </c>
      <c r="Y78" s="13">
        <f t="shared" si="5"/>
        <v>0</v>
      </c>
    </row>
    <row r="79" spans="1:25" ht="54" customHeight="1" x14ac:dyDescent="0.25">
      <c r="A79" s="23">
        <v>78</v>
      </c>
      <c r="B79" s="23"/>
      <c r="C79" s="23"/>
      <c r="D79" s="78"/>
      <c r="E79" s="126"/>
      <c r="F79" s="129">
        <v>1</v>
      </c>
      <c r="G79" s="74"/>
      <c r="H79" s="73"/>
      <c r="I79" s="73"/>
      <c r="J79" s="78"/>
      <c r="K79" s="78"/>
      <c r="L79" s="13">
        <f t="shared" si="4"/>
        <v>0</v>
      </c>
      <c r="M79" s="78"/>
      <c r="N79" s="78"/>
      <c r="O79" s="78"/>
      <c r="P79" s="75"/>
      <c r="Q79" s="63"/>
      <c r="R79" s="63"/>
      <c r="S79" s="77"/>
      <c r="T79" s="63"/>
      <c r="U79" s="63"/>
      <c r="V79" s="71">
        <f>IF(OR(COUNTA(P79:R79)&gt;=2,COUNTA(S79:U79)&gt;=2),"ошибка",(IF((AND(COUNTA(P79:R79)=1,P79&gt;0)),P79*60*VLOOKUP(D79,'2Рабочее время'!$A:$L,4,FALSE)*((IF(VLOOKUP(D79,'2Рабочее время'!$A$1:$C$50,2,FALSE)&gt;0,VLOOKUP(D79,'2Рабочее время'!$A$1:$C$50,2,FALSE),VLOOKUP(D79,'2Рабочее время'!$A$1:$C$50,3,FALSE)))),IF((AND(COUNTA(P79:R79)=1,Q79&gt;0)),Q79*((IF(VLOOKUP(D79,'2Рабочее время'!$A$1:$C$50,2,FALSE)&gt;0,VLOOKUP(D79,'2Рабочее время'!$A$1:$C$50,2,FALSE),VLOOKUP(D79,'2Рабочее время'!$A$1:$C$50,3,FALSE)))),IF((AND(COUNTA(P79:R79)=1,R79&gt;0)),R79*O79*IF(N79=0,0,IF(N79="Количество в месяц",1,IF(N79="Количество в неделю",4.285,IF(N79="Количество в день",IF(VLOOKUP(D79,'2Рабочее время'!$A$1:$C$50,2,FALSE)&gt;0,VLOOKUP(D79,'2Рабочее время'!$A$1:$C$50,2,FALSE),VLOOKUP(D79,'2Рабочее время'!$A$1:$C$50,3,FALSE)))))),0)))+IF((AND(COUNTA(S79:U79)=1,S79&gt;0)),S79*60*VLOOKUP(D79,'2Рабочее время'!$A:$L,4,FALSE)*((IF(VLOOKUP(D79,'2Рабочее время'!$A$1:$C$50,2,FALSE)&gt;0,VLOOKUP(D79,'2Рабочее время'!$A$1:$C$50,2,FALSE),VLOOKUP(D79,'2Рабочее время'!$A$1:$C$50,3,FALSE)))),IF((AND(COUNTA(P79:R79)=1,Q79&gt;0)),Q79*((IF(VLOOKUP(D79,'2Рабочее время'!$A$1:$C$50,2,FALSE)&gt;0,VLOOKUP(D79,'2Рабочее время'!$A$1:$C$50,2,FALSE),VLOOKUP(D79,'2Рабочее время'!$A$1:$C$50,3,FALSE)))),IF((AND(COUNTA(S79:U79)=1,T79&gt;0)),T79*((IF(VLOOKUP(D79,'2Рабочее время'!$A$1:$C$50,2,FALSE)&gt;0,VLOOKUP(D79,'2Рабочее время'!$A$1:$C$50,2,FALSE),VLOOKUP(D79,'2Рабочее время'!$A$1:$C$50,3,FALSE)))),IF((AND(COUNTA(S79:U79)=1,U79&gt;0)),U79*O79*IF(N79=0,0,IF(N79="Количество в месяц",1,IF(N79="Количество в неделю",4.285,IF(N79="Количество в день",IF(VLOOKUP(D79,'2Рабочее время'!$A$1:$C$50,2,FALSE)&gt;0,VLOOKUP(D79,'2Рабочее время'!$A$1:$C$50,2,FALSE),VLOOKUP(D79,'2Рабочее время'!$A$1:$C$50,3,FALSE)))))),0))))))</f>
        <v>0</v>
      </c>
      <c r="W79" s="33">
        <v>1</v>
      </c>
      <c r="X79" s="13">
        <f>IF(N79=0,0,IF(N79="Количество в месяц",L79*O79*W79,IF(N79="Количество в неделю",L79*O79*W79*4.285,IF(N79="Количество в день",L79*O79*W79*IF(VLOOKUP(D79,'2Рабочее время'!$A$1:$C$50,2,FALSE)&gt;0,VLOOKUP(D79,'2Рабочее время'!$A$1:$C$50,2,FALSE),VLOOKUP(D79,'2Рабочее время'!$A$1:$C$50,3,FALSE))))))+V79</f>
        <v>0</v>
      </c>
      <c r="Y79" s="13">
        <f t="shared" si="5"/>
        <v>0</v>
      </c>
    </row>
    <row r="80" spans="1:25" ht="54" customHeight="1" x14ac:dyDescent="0.25">
      <c r="A80" s="23">
        <v>79</v>
      </c>
      <c r="B80" s="23"/>
      <c r="C80" s="23"/>
      <c r="D80" s="78"/>
      <c r="E80" s="126"/>
      <c r="F80" s="129">
        <v>1</v>
      </c>
      <c r="G80" s="74"/>
      <c r="H80" s="73"/>
      <c r="I80" s="73"/>
      <c r="J80" s="78"/>
      <c r="K80" s="78"/>
      <c r="L80" s="13">
        <f t="shared" si="4"/>
        <v>0</v>
      </c>
      <c r="M80" s="78"/>
      <c r="N80" s="78"/>
      <c r="O80" s="78"/>
      <c r="P80" s="75"/>
      <c r="Q80" s="63"/>
      <c r="R80" s="63"/>
      <c r="S80" s="77"/>
      <c r="T80" s="63"/>
      <c r="U80" s="63"/>
      <c r="V80" s="71">
        <f>IF(OR(COUNTA(P80:R80)&gt;=2,COUNTA(S80:U80)&gt;=2),"ошибка",(IF((AND(COUNTA(P80:R80)=1,P80&gt;0)),P80*60*VLOOKUP(D80,'2Рабочее время'!$A:$L,4,FALSE)*((IF(VLOOKUP(D80,'2Рабочее время'!$A$1:$C$50,2,FALSE)&gt;0,VLOOKUP(D80,'2Рабочее время'!$A$1:$C$50,2,FALSE),VLOOKUP(D80,'2Рабочее время'!$A$1:$C$50,3,FALSE)))),IF((AND(COUNTA(P80:R80)=1,Q80&gt;0)),Q80*((IF(VLOOKUP(D80,'2Рабочее время'!$A$1:$C$50,2,FALSE)&gt;0,VLOOKUP(D80,'2Рабочее время'!$A$1:$C$50,2,FALSE),VLOOKUP(D80,'2Рабочее время'!$A$1:$C$50,3,FALSE)))),IF((AND(COUNTA(P80:R80)=1,R80&gt;0)),R80*O80*IF(N80=0,0,IF(N80="Количество в месяц",1,IF(N80="Количество в неделю",4.285,IF(N80="Количество в день",IF(VLOOKUP(D80,'2Рабочее время'!$A$1:$C$50,2,FALSE)&gt;0,VLOOKUP(D80,'2Рабочее время'!$A$1:$C$50,2,FALSE),VLOOKUP(D80,'2Рабочее время'!$A$1:$C$50,3,FALSE)))))),0)))+IF((AND(COUNTA(S80:U80)=1,S80&gt;0)),S80*60*VLOOKUP(D80,'2Рабочее время'!$A:$L,4,FALSE)*((IF(VLOOKUP(D80,'2Рабочее время'!$A$1:$C$50,2,FALSE)&gt;0,VLOOKUP(D80,'2Рабочее время'!$A$1:$C$50,2,FALSE),VLOOKUP(D80,'2Рабочее время'!$A$1:$C$50,3,FALSE)))),IF((AND(COUNTA(P80:R80)=1,Q80&gt;0)),Q80*((IF(VLOOKUP(D80,'2Рабочее время'!$A$1:$C$50,2,FALSE)&gt;0,VLOOKUP(D80,'2Рабочее время'!$A$1:$C$50,2,FALSE),VLOOKUP(D80,'2Рабочее время'!$A$1:$C$50,3,FALSE)))),IF((AND(COUNTA(S80:U80)=1,T80&gt;0)),T80*((IF(VLOOKUP(D80,'2Рабочее время'!$A$1:$C$50,2,FALSE)&gt;0,VLOOKUP(D80,'2Рабочее время'!$A$1:$C$50,2,FALSE),VLOOKUP(D80,'2Рабочее время'!$A$1:$C$50,3,FALSE)))),IF((AND(COUNTA(S80:U80)=1,U80&gt;0)),U80*O80*IF(N80=0,0,IF(N80="Количество в месяц",1,IF(N80="Количество в неделю",4.285,IF(N80="Количество в день",IF(VLOOKUP(D80,'2Рабочее время'!$A$1:$C$50,2,FALSE)&gt;0,VLOOKUP(D80,'2Рабочее время'!$A$1:$C$50,2,FALSE),VLOOKUP(D80,'2Рабочее время'!$A$1:$C$50,3,FALSE)))))),0))))))</f>
        <v>0</v>
      </c>
      <c r="W80" s="33">
        <v>1</v>
      </c>
      <c r="X80" s="13">
        <f>IF(N80=0,0,IF(N80="Количество в месяц",L80*O80*W80,IF(N80="Количество в неделю",L80*O80*W80*4.285,IF(N80="Количество в день",L80*O80*W80*IF(VLOOKUP(D80,'2Рабочее время'!$A$1:$C$50,2,FALSE)&gt;0,VLOOKUP(D80,'2Рабочее время'!$A$1:$C$50,2,FALSE),VLOOKUP(D80,'2Рабочее время'!$A$1:$C$50,3,FALSE))))))+V80</f>
        <v>0</v>
      </c>
      <c r="Y80" s="13">
        <f t="shared" si="5"/>
        <v>0</v>
      </c>
    </row>
    <row r="81" spans="14:25" x14ac:dyDescent="0.25">
      <c r="N81"/>
      <c r="O81" s="2"/>
      <c r="P81" s="58"/>
      <c r="S81" s="34"/>
      <c r="V81" s="62"/>
      <c r="Y81"/>
    </row>
    <row r="82" spans="14:25" x14ac:dyDescent="0.25">
      <c r="N82"/>
      <c r="O82" s="2"/>
      <c r="P82" s="58"/>
      <c r="S82" s="34"/>
      <c r="V82" s="62"/>
      <c r="Y82"/>
    </row>
    <row r="83" spans="14:25" x14ac:dyDescent="0.25">
      <c r="N83"/>
      <c r="O83" s="2"/>
      <c r="P83" s="58"/>
      <c r="S83" s="34"/>
      <c r="V83" s="62"/>
      <c r="Y83"/>
    </row>
    <row r="84" spans="14:25" x14ac:dyDescent="0.25">
      <c r="N84"/>
      <c r="O84" s="2"/>
      <c r="P84" s="58"/>
      <c r="S84" s="34"/>
      <c r="V84" s="62"/>
      <c r="Y84"/>
    </row>
    <row r="85" spans="14:25" x14ac:dyDescent="0.25">
      <c r="N85"/>
      <c r="O85" s="2"/>
      <c r="P85" s="58"/>
      <c r="S85" s="34"/>
      <c r="V85" s="62"/>
      <c r="Y85"/>
    </row>
    <row r="86" spans="14:25" x14ac:dyDescent="0.25">
      <c r="N86"/>
      <c r="O86" s="2"/>
      <c r="P86" s="58"/>
      <c r="S86" s="34"/>
      <c r="V86" s="62"/>
      <c r="Y86"/>
    </row>
    <row r="87" spans="14:25" x14ac:dyDescent="0.25">
      <c r="N87"/>
      <c r="O87" s="2"/>
      <c r="P87" s="58"/>
      <c r="S87" s="34"/>
      <c r="V87" s="62"/>
      <c r="Y87"/>
    </row>
    <row r="88" spans="14:25" x14ac:dyDescent="0.25">
      <c r="N88"/>
      <c r="O88" s="2"/>
      <c r="P88" s="58"/>
      <c r="S88" s="34"/>
      <c r="V88" s="62"/>
      <c r="Y88"/>
    </row>
    <row r="89" spans="14:25" x14ac:dyDescent="0.25">
      <c r="N89"/>
      <c r="O89" s="2"/>
      <c r="P89" s="58"/>
      <c r="S89" s="34"/>
      <c r="V89" s="62"/>
      <c r="Y89"/>
    </row>
    <row r="90" spans="14:25" x14ac:dyDescent="0.25">
      <c r="N90"/>
      <c r="O90" s="2"/>
      <c r="P90" s="58"/>
      <c r="S90" s="34"/>
      <c r="V90" s="62"/>
      <c r="Y90"/>
    </row>
    <row r="91" spans="14:25" x14ac:dyDescent="0.25">
      <c r="N91"/>
      <c r="O91" s="2"/>
      <c r="P91" s="58"/>
      <c r="S91" s="34"/>
      <c r="V91" s="62"/>
      <c r="Y91"/>
    </row>
    <row r="92" spans="14:25" x14ac:dyDescent="0.25">
      <c r="N92"/>
      <c r="O92" s="2"/>
      <c r="P92" s="58"/>
      <c r="S92" s="34"/>
      <c r="V92" s="62"/>
      <c r="Y92"/>
    </row>
    <row r="93" spans="14:25" x14ac:dyDescent="0.25">
      <c r="N93"/>
      <c r="O93" s="2"/>
      <c r="P93" s="58"/>
      <c r="S93" s="34"/>
      <c r="V93" s="62"/>
      <c r="Y93"/>
    </row>
    <row r="94" spans="14:25" x14ac:dyDescent="0.25">
      <c r="N94"/>
      <c r="O94" s="2"/>
      <c r="P94" s="58"/>
      <c r="S94" s="34"/>
      <c r="V94" s="62"/>
      <c r="Y94"/>
    </row>
    <row r="95" spans="14:25" x14ac:dyDescent="0.25">
      <c r="N95"/>
      <c r="O95" s="2"/>
      <c r="P95" s="58"/>
      <c r="S95" s="34"/>
      <c r="V95" s="62"/>
      <c r="Y95"/>
    </row>
    <row r="96" spans="14:25" x14ac:dyDescent="0.25">
      <c r="N96"/>
      <c r="O96" s="2"/>
      <c r="P96" s="58"/>
      <c r="S96" s="34"/>
      <c r="V96" s="62"/>
      <c r="Y96"/>
    </row>
    <row r="97" spans="14:25" x14ac:dyDescent="0.25">
      <c r="N97"/>
      <c r="O97" s="2"/>
      <c r="P97" s="58"/>
      <c r="S97" s="34"/>
      <c r="V97" s="62"/>
      <c r="Y97"/>
    </row>
    <row r="98" spans="14:25" x14ac:dyDescent="0.25">
      <c r="N98"/>
      <c r="O98" s="2"/>
      <c r="P98" s="58"/>
      <c r="S98" s="34"/>
      <c r="V98" s="62"/>
      <c r="Y98"/>
    </row>
    <row r="99" spans="14:25" x14ac:dyDescent="0.25">
      <c r="N99"/>
      <c r="O99" s="2"/>
      <c r="P99" s="58"/>
      <c r="S99" s="34"/>
      <c r="V99" s="62"/>
      <c r="Y99"/>
    </row>
    <row r="100" spans="14:25" x14ac:dyDescent="0.25">
      <c r="N100"/>
      <c r="O100" s="2"/>
      <c r="P100" s="58"/>
      <c r="S100" s="34"/>
      <c r="V100" s="62"/>
      <c r="Y100"/>
    </row>
    <row r="101" spans="14:25" x14ac:dyDescent="0.25">
      <c r="N101"/>
      <c r="O101" s="2"/>
      <c r="P101" s="58"/>
      <c r="S101" s="34"/>
      <c r="V101" s="62"/>
      <c r="Y101"/>
    </row>
    <row r="102" spans="14:25" x14ac:dyDescent="0.25">
      <c r="N102"/>
      <c r="O102" s="2"/>
      <c r="P102" s="58"/>
      <c r="S102" s="34"/>
      <c r="V102" s="62"/>
      <c r="Y102"/>
    </row>
    <row r="103" spans="14:25" x14ac:dyDescent="0.25">
      <c r="N103"/>
      <c r="O103" s="2"/>
      <c r="P103" s="58"/>
      <c r="S103" s="34"/>
      <c r="V103" s="62"/>
      <c r="Y103"/>
    </row>
    <row r="104" spans="14:25" x14ac:dyDescent="0.25">
      <c r="N104"/>
      <c r="O104" s="2"/>
      <c r="P104" s="58"/>
      <c r="S104" s="34"/>
      <c r="V104" s="62"/>
      <c r="Y104"/>
    </row>
    <row r="105" spans="14:25" x14ac:dyDescent="0.25">
      <c r="N105"/>
      <c r="O105" s="2"/>
      <c r="P105" s="58"/>
      <c r="S105" s="34"/>
      <c r="V105" s="62"/>
      <c r="Y105"/>
    </row>
    <row r="106" spans="14:25" x14ac:dyDescent="0.25">
      <c r="N106"/>
      <c r="O106" s="2"/>
      <c r="P106" s="58"/>
      <c r="S106" s="34"/>
      <c r="V106" s="62"/>
      <c r="Y106"/>
    </row>
    <row r="107" spans="14:25" x14ac:dyDescent="0.25">
      <c r="N107"/>
      <c r="O107" s="2"/>
      <c r="V107" s="62"/>
      <c r="Y107"/>
    </row>
    <row r="108" spans="14:25" x14ac:dyDescent="0.25">
      <c r="N108"/>
      <c r="O108" s="2"/>
      <c r="V108" s="62"/>
      <c r="Y108"/>
    </row>
    <row r="109" spans="14:25" x14ac:dyDescent="0.25">
      <c r="N109"/>
      <c r="O109" s="2"/>
      <c r="V109" s="62"/>
      <c r="Y109"/>
    </row>
    <row r="110" spans="14:25" x14ac:dyDescent="0.25">
      <c r="N110"/>
      <c r="O110" s="2"/>
      <c r="V110" s="62"/>
      <c r="Y110"/>
    </row>
    <row r="111" spans="14:25" x14ac:dyDescent="0.25">
      <c r="N111"/>
      <c r="O111" s="2"/>
      <c r="V111" s="62"/>
      <c r="Y111"/>
    </row>
    <row r="112" spans="14:25" x14ac:dyDescent="0.25">
      <c r="N112"/>
      <c r="O112" s="2"/>
      <c r="V112" s="62"/>
      <c r="Y112"/>
    </row>
    <row r="113" spans="14:25" x14ac:dyDescent="0.25">
      <c r="N113"/>
      <c r="O113" s="2"/>
      <c r="V113" s="62"/>
      <c r="Y113"/>
    </row>
    <row r="114" spans="14:25" x14ac:dyDescent="0.25">
      <c r="N114"/>
      <c r="O114" s="2"/>
      <c r="V114" s="62"/>
      <c r="Y114"/>
    </row>
    <row r="115" spans="14:25" x14ac:dyDescent="0.25">
      <c r="N115"/>
      <c r="O115" s="2"/>
      <c r="V115" s="62"/>
      <c r="Y115"/>
    </row>
    <row r="116" spans="14:25" x14ac:dyDescent="0.25">
      <c r="N116"/>
      <c r="O116" s="2"/>
      <c r="V116" s="62"/>
      <c r="Y116"/>
    </row>
    <row r="117" spans="14:25" x14ac:dyDescent="0.25">
      <c r="N117"/>
      <c r="O117" s="2"/>
      <c r="V117" s="62"/>
      <c r="Y117"/>
    </row>
    <row r="118" spans="14:25" x14ac:dyDescent="0.25">
      <c r="N118"/>
      <c r="O118" s="2"/>
      <c r="V118" s="62"/>
      <c r="Y118"/>
    </row>
    <row r="119" spans="14:25" x14ac:dyDescent="0.25">
      <c r="N119"/>
      <c r="O119" s="2"/>
      <c r="V119" s="62"/>
      <c r="Y119"/>
    </row>
    <row r="120" spans="14:25" x14ac:dyDescent="0.25">
      <c r="N120"/>
      <c r="O120" s="2"/>
      <c r="V120" s="62"/>
      <c r="Y120"/>
    </row>
    <row r="121" spans="14:25" x14ac:dyDescent="0.25">
      <c r="N121"/>
      <c r="O121" s="2"/>
      <c r="V121" s="62"/>
      <c r="Y121"/>
    </row>
    <row r="122" spans="14:25" x14ac:dyDescent="0.25">
      <c r="N122"/>
      <c r="O122" s="2"/>
      <c r="V122" s="62"/>
      <c r="Y122"/>
    </row>
    <row r="123" spans="14:25" x14ac:dyDescent="0.25">
      <c r="N123"/>
      <c r="O123" s="2"/>
      <c r="V123" s="62"/>
      <c r="Y123"/>
    </row>
    <row r="124" spans="14:25" x14ac:dyDescent="0.25">
      <c r="N124"/>
      <c r="O124" s="2"/>
      <c r="V124" s="62"/>
      <c r="Y124"/>
    </row>
    <row r="125" spans="14:25" x14ac:dyDescent="0.25">
      <c r="N125"/>
      <c r="O125" s="2"/>
      <c r="V125" s="62"/>
      <c r="Y125"/>
    </row>
    <row r="126" spans="14:25" x14ac:dyDescent="0.25">
      <c r="N126"/>
      <c r="O126" s="2"/>
      <c r="V126" s="62"/>
      <c r="Y126"/>
    </row>
    <row r="127" spans="14:25" x14ac:dyDescent="0.25">
      <c r="N127"/>
      <c r="O127" s="2"/>
      <c r="V127" s="62"/>
      <c r="Y127"/>
    </row>
    <row r="128" spans="14:25" x14ac:dyDescent="0.25">
      <c r="N128"/>
      <c r="O128" s="2"/>
      <c r="V128" s="62"/>
      <c r="Y128"/>
    </row>
  </sheetData>
  <sheetProtection sheet="1" objects="1" scenarios="1" selectLockedCells="1"/>
  <autoFilter ref="A1:Z128"/>
  <sortState ref="A2:R31">
    <sortCondition ref="G2:G31"/>
  </sortState>
  <conditionalFormatting sqref="U2:U80 Q2:R80 X2:Y80 L2:L80">
    <cfRule type="cellIs" dxfId="84" priority="63" operator="equal">
      <formula>0</formula>
    </cfRule>
    <cfRule type="expression" dxfId="83" priority="64">
      <formula>0</formula>
    </cfRule>
  </conditionalFormatting>
  <conditionalFormatting sqref="Y19">
    <cfRule type="cellIs" dxfId="82" priority="19" operator="equal">
      <formula>0</formula>
    </cfRule>
    <cfRule type="expression" dxfId="81" priority="20">
      <formula>0</formula>
    </cfRule>
  </conditionalFormatting>
  <conditionalFormatting sqref="Y20">
    <cfRule type="cellIs" dxfId="80" priority="17" operator="equal">
      <formula>0</formula>
    </cfRule>
    <cfRule type="expression" dxfId="79" priority="18">
      <formula>0</formula>
    </cfRule>
  </conditionalFormatting>
  <conditionalFormatting sqref="Y21:Y80">
    <cfRule type="cellIs" dxfId="78" priority="15" operator="equal">
      <formula>0</formula>
    </cfRule>
    <cfRule type="expression" dxfId="77" priority="16">
      <formula>0</formula>
    </cfRule>
  </conditionalFormatting>
  <conditionalFormatting sqref="P2:P80">
    <cfRule type="cellIs" dxfId="76" priority="13" operator="equal">
      <formula>0</formula>
    </cfRule>
    <cfRule type="expression" dxfId="75" priority="14">
      <formula>0</formula>
    </cfRule>
  </conditionalFormatting>
  <conditionalFormatting sqref="S2:S80">
    <cfRule type="cellIs" dxfId="74" priority="7" operator="equal">
      <formula>0</formula>
    </cfRule>
    <cfRule type="expression" dxfId="73" priority="8">
      <formula>0</formula>
    </cfRule>
  </conditionalFormatting>
  <conditionalFormatting sqref="T2:T80">
    <cfRule type="cellIs" dxfId="72" priority="9" operator="equal">
      <formula>0</formula>
    </cfRule>
    <cfRule type="expression" dxfId="71" priority="10">
      <formula>0</formula>
    </cfRule>
  </conditionalFormatting>
  <conditionalFormatting sqref="V2:V80">
    <cfRule type="cellIs" dxfId="70" priority="3" operator="equal">
      <formula>0</formula>
    </cfRule>
  </conditionalFormatting>
  <conditionalFormatting sqref="V1:V1048576">
    <cfRule type="containsText" dxfId="69" priority="2" operator="containsText" text="ошибка">
      <formula>NOT(ISERROR(SEARCH("ошибка",V1)))</formula>
    </cfRule>
  </conditionalFormatting>
  <conditionalFormatting sqref="F1:F1048576">
    <cfRule type="cellIs" dxfId="68" priority="1" operator="equal">
      <formula>1</formula>
    </cfRule>
  </conditionalFormatting>
  <dataValidations count="1">
    <dataValidation showDropDown="1" showInputMessage="1" showErrorMessage="1" sqref="E2:F80 V2:V80 O2:O80"/>
  </dataValidations>
  <pageMargins left="0.19685039370078741" right="0.11811023622047245" top="0.15748031496062992" bottom="0.15748031496062992" header="0.11811023622047245" footer="0.11811023622047245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Частотность!$A$1:$A$16</xm:f>
          </x14:formula1>
          <xm:sqref>N2:N80</xm:sqref>
        </x14:dataValidation>
        <x14:dataValidation type="list" showInputMessage="1" showErrorMessage="1">
          <x14:formula1>
            <xm:f>'Штатные должности'!$A$1:$A$20</xm:f>
          </x14:formula1>
          <xm:sqref>D2:D40</xm:sqref>
        </x14:dataValidation>
        <x14:dataValidation type="list" showInputMessage="1" showErrorMessage="1">
          <x14:formula1>
            <xm:f>'Штатные должности'!$A$1:$A$100</xm:f>
          </x14:formula1>
          <xm:sqref>D41:D80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3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 x14ac:dyDescent="0.25"/>
  <cols>
    <col min="1" max="1" width="46.85546875" style="62" customWidth="1"/>
    <col min="2" max="2" width="10.85546875" hidden="1" customWidth="1"/>
    <col min="3" max="3" width="16" style="3" customWidth="1"/>
    <col min="4" max="4" width="11" customWidth="1"/>
    <col min="5" max="5" width="14.140625" customWidth="1"/>
    <col min="6" max="7" width="12.5703125" customWidth="1"/>
    <col min="8" max="8" width="10.140625" customWidth="1"/>
    <col min="9" max="9" width="11.5703125" style="3" customWidth="1"/>
    <col min="10" max="10" width="15.140625" style="44" customWidth="1"/>
    <col min="11" max="11" width="8.85546875" style="44" customWidth="1"/>
    <col min="12" max="12" width="16" style="44" hidden="1" customWidth="1"/>
  </cols>
  <sheetData>
    <row r="1" spans="1:12" s="9" customFormat="1" ht="131.25" customHeight="1" x14ac:dyDescent="0.25">
      <c r="A1" s="121" t="s">
        <v>1</v>
      </c>
      <c r="B1" s="12" t="s">
        <v>67</v>
      </c>
      <c r="C1" s="12" t="s">
        <v>66</v>
      </c>
      <c r="D1" s="12" t="s">
        <v>163</v>
      </c>
      <c r="E1" s="12" t="s">
        <v>45</v>
      </c>
      <c r="F1" s="12" t="s">
        <v>46</v>
      </c>
      <c r="G1" s="12" t="s">
        <v>35</v>
      </c>
      <c r="H1" s="12" t="s">
        <v>34</v>
      </c>
      <c r="I1" s="12" t="s">
        <v>38</v>
      </c>
      <c r="J1" s="12" t="s">
        <v>36</v>
      </c>
      <c r="K1" s="16" t="s">
        <v>8</v>
      </c>
      <c r="L1" s="12" t="s">
        <v>47</v>
      </c>
    </row>
    <row r="2" spans="1:12" s="9" customFormat="1" ht="17.25" customHeight="1" x14ac:dyDescent="0.25">
      <c r="A2" s="131" t="s">
        <v>108</v>
      </c>
      <c r="B2" s="96"/>
      <c r="C2" s="96">
        <v>20.58</v>
      </c>
      <c r="D2" s="19">
        <v>8</v>
      </c>
      <c r="E2" s="18">
        <v>60</v>
      </c>
      <c r="F2" s="18">
        <v>20</v>
      </c>
      <c r="G2" s="63">
        <v>28</v>
      </c>
      <c r="H2" s="63">
        <v>14</v>
      </c>
      <c r="I2" s="63">
        <v>7</v>
      </c>
      <c r="J2" s="67">
        <f>C2*D2</f>
        <v>164.64</v>
      </c>
      <c r="K2" s="64">
        <f>VLOOKUP(A2,'Потери рабочего времени'!$A$1:$H$26,8,FALSE)</f>
        <v>45</v>
      </c>
      <c r="L2" s="65">
        <f t="shared" ref="L2:L35" si="0">IF(J2=0,0,((F2)/60)*20/J2)</f>
        <v>4.0492387431162943E-2</v>
      </c>
    </row>
    <row r="3" spans="1:12" s="9" customFormat="1" ht="17.25" customHeight="1" x14ac:dyDescent="0.25">
      <c r="A3" s="131" t="s">
        <v>160</v>
      </c>
      <c r="B3" s="96"/>
      <c r="C3" s="96">
        <v>20.58</v>
      </c>
      <c r="D3" s="19">
        <v>8</v>
      </c>
      <c r="E3" s="18">
        <v>60</v>
      </c>
      <c r="F3" s="18">
        <v>20</v>
      </c>
      <c r="G3" s="63">
        <v>28</v>
      </c>
      <c r="H3" s="63">
        <v>14</v>
      </c>
      <c r="I3" s="63">
        <v>7</v>
      </c>
      <c r="J3" s="67">
        <f t="shared" ref="J3:J6" si="1">C3*D3</f>
        <v>164.64</v>
      </c>
      <c r="K3" s="64">
        <f>VLOOKUP(A3,'Потери рабочего времени'!$A$1:$H$26,8,FALSE)</f>
        <v>48</v>
      </c>
      <c r="L3" s="65">
        <f t="shared" si="0"/>
        <v>4.0492387431162943E-2</v>
      </c>
    </row>
    <row r="4" spans="1:12" s="9" customFormat="1" ht="17.25" customHeight="1" x14ac:dyDescent="0.25">
      <c r="A4" s="131" t="s">
        <v>110</v>
      </c>
      <c r="B4" s="96"/>
      <c r="C4" s="96">
        <v>20.58</v>
      </c>
      <c r="D4" s="19">
        <v>8</v>
      </c>
      <c r="E4" s="18">
        <v>60</v>
      </c>
      <c r="F4" s="18">
        <v>20</v>
      </c>
      <c r="G4" s="63">
        <v>28</v>
      </c>
      <c r="H4" s="63">
        <v>14</v>
      </c>
      <c r="I4" s="63">
        <v>7</v>
      </c>
      <c r="J4" s="67">
        <f t="shared" si="1"/>
        <v>164.64</v>
      </c>
      <c r="K4" s="64">
        <f>VLOOKUP(A4,'Потери рабочего времени'!$A$1:$H$26,8,FALSE)</f>
        <v>43</v>
      </c>
      <c r="L4" s="65">
        <f t="shared" si="0"/>
        <v>4.0492387431162943E-2</v>
      </c>
    </row>
    <row r="5" spans="1:12" s="9" customFormat="1" ht="17.25" customHeight="1" x14ac:dyDescent="0.25">
      <c r="A5" s="131" t="s">
        <v>111</v>
      </c>
      <c r="B5" s="96"/>
      <c r="C5" s="96">
        <v>20.58</v>
      </c>
      <c r="D5" s="19">
        <v>8</v>
      </c>
      <c r="E5" s="18">
        <v>60</v>
      </c>
      <c r="F5" s="18">
        <v>20</v>
      </c>
      <c r="G5" s="63">
        <v>28</v>
      </c>
      <c r="H5" s="63">
        <v>14</v>
      </c>
      <c r="I5" s="63">
        <v>7</v>
      </c>
      <c r="J5" s="67">
        <f t="shared" si="1"/>
        <v>164.64</v>
      </c>
      <c r="K5" s="64">
        <f>VLOOKUP(A5,'Потери рабочего времени'!$A$1:$H$26,8,FALSE)</f>
        <v>38</v>
      </c>
      <c r="L5" s="65">
        <f t="shared" si="0"/>
        <v>4.0492387431162943E-2</v>
      </c>
    </row>
    <row r="6" spans="1:12" s="9" customFormat="1" ht="17.25" customHeight="1" x14ac:dyDescent="0.25">
      <c r="A6" s="131" t="s">
        <v>112</v>
      </c>
      <c r="B6" s="96"/>
      <c r="C6" s="96">
        <v>20.58</v>
      </c>
      <c r="D6" s="19">
        <v>8</v>
      </c>
      <c r="E6" s="18">
        <v>60</v>
      </c>
      <c r="F6" s="18">
        <v>20</v>
      </c>
      <c r="G6" s="63">
        <v>28</v>
      </c>
      <c r="H6" s="63">
        <v>14</v>
      </c>
      <c r="I6" s="63">
        <v>7</v>
      </c>
      <c r="J6" s="67">
        <f t="shared" si="1"/>
        <v>164.64</v>
      </c>
      <c r="K6" s="64">
        <f>VLOOKUP(A6,'Потери рабочего времени'!$A$1:$H$26,8,FALSE)</f>
        <v>58</v>
      </c>
      <c r="L6" s="65">
        <f t="shared" si="0"/>
        <v>4.0492387431162943E-2</v>
      </c>
    </row>
    <row r="7" spans="1:12" s="9" customFormat="1" ht="17.25" customHeight="1" x14ac:dyDescent="0.25">
      <c r="A7" s="131"/>
      <c r="B7" s="96"/>
      <c r="C7" s="96"/>
      <c r="D7" s="19"/>
      <c r="E7" s="18"/>
      <c r="F7" s="18"/>
      <c r="G7" s="63"/>
      <c r="H7" s="63"/>
      <c r="I7" s="63"/>
      <c r="J7" s="67">
        <f t="shared" ref="J7:J35" si="2">C7*(D7-E7/60)</f>
        <v>0</v>
      </c>
      <c r="K7" s="64">
        <f>VLOOKUP(A7,'Потери рабочего времени'!$A$1:$H$26,8,FALSE)</f>
        <v>0</v>
      </c>
      <c r="L7" s="65">
        <f t="shared" si="0"/>
        <v>0</v>
      </c>
    </row>
    <row r="8" spans="1:12" s="9" customFormat="1" ht="17.25" customHeight="1" x14ac:dyDescent="0.25">
      <c r="A8" s="131"/>
      <c r="B8" s="96"/>
      <c r="C8" s="96"/>
      <c r="D8" s="19"/>
      <c r="E8" s="18"/>
      <c r="F8" s="18"/>
      <c r="G8" s="63"/>
      <c r="H8" s="63"/>
      <c r="I8" s="63"/>
      <c r="J8" s="67">
        <f t="shared" si="2"/>
        <v>0</v>
      </c>
      <c r="K8" s="64">
        <f>VLOOKUP(A8,'Потери рабочего времени'!$A$1:$H$26,8,FALSE)</f>
        <v>0</v>
      </c>
      <c r="L8" s="65">
        <f t="shared" si="0"/>
        <v>0</v>
      </c>
    </row>
    <row r="9" spans="1:12" s="9" customFormat="1" ht="17.25" customHeight="1" x14ac:dyDescent="0.25">
      <c r="A9" s="131"/>
      <c r="B9" s="20"/>
      <c r="C9" s="18"/>
      <c r="D9" s="19"/>
      <c r="E9" s="18"/>
      <c r="F9" s="18"/>
      <c r="G9" s="63"/>
      <c r="H9" s="63"/>
      <c r="I9" s="63"/>
      <c r="J9" s="67">
        <f t="shared" si="2"/>
        <v>0</v>
      </c>
      <c r="K9" s="64">
        <f>VLOOKUP(A9,'Потери рабочего времени'!$A$1:$H$26,8,FALSE)</f>
        <v>0</v>
      </c>
      <c r="L9" s="65">
        <f t="shared" si="0"/>
        <v>0</v>
      </c>
    </row>
    <row r="10" spans="1:12" s="9" customFormat="1" ht="17.25" customHeight="1" x14ac:dyDescent="0.25">
      <c r="A10" s="131"/>
      <c r="B10" s="20"/>
      <c r="C10" s="18"/>
      <c r="D10" s="19"/>
      <c r="E10" s="18"/>
      <c r="F10" s="18"/>
      <c r="G10" s="63"/>
      <c r="H10" s="63"/>
      <c r="I10" s="63"/>
      <c r="J10" s="67">
        <f t="shared" si="2"/>
        <v>0</v>
      </c>
      <c r="K10" s="64">
        <f>VLOOKUP(A10,'Потери рабочего времени'!$A$1:$H$26,8,FALSE)</f>
        <v>0</v>
      </c>
      <c r="L10" s="65">
        <f t="shared" si="0"/>
        <v>0</v>
      </c>
    </row>
    <row r="11" spans="1:12" s="9" customFormat="1" ht="17.25" customHeight="1" x14ac:dyDescent="0.25">
      <c r="A11" s="131"/>
      <c r="B11" s="20"/>
      <c r="C11" s="18"/>
      <c r="D11" s="19"/>
      <c r="E11" s="18"/>
      <c r="F11" s="18"/>
      <c r="G11" s="63"/>
      <c r="H11" s="63"/>
      <c r="I11" s="63"/>
      <c r="J11" s="67">
        <f t="shared" si="2"/>
        <v>0</v>
      </c>
      <c r="K11" s="64">
        <f>VLOOKUP(A11,'Потери рабочего времени'!$A$1:$H$26,8,FALSE)</f>
        <v>0</v>
      </c>
      <c r="L11" s="65">
        <f t="shared" si="0"/>
        <v>0</v>
      </c>
    </row>
    <row r="12" spans="1:12" s="9" customFormat="1" ht="17.25" customHeight="1" x14ac:dyDescent="0.25">
      <c r="A12" s="131"/>
      <c r="B12" s="20"/>
      <c r="C12" s="18"/>
      <c r="D12" s="19"/>
      <c r="E12" s="18"/>
      <c r="F12" s="18"/>
      <c r="G12" s="63"/>
      <c r="H12" s="63"/>
      <c r="I12" s="63"/>
      <c r="J12" s="67">
        <f t="shared" si="2"/>
        <v>0</v>
      </c>
      <c r="K12" s="64">
        <f>VLOOKUP(A12,'Потери рабочего времени'!$A$1:$H$26,8,FALSE)</f>
        <v>0</v>
      </c>
      <c r="L12" s="65">
        <f t="shared" si="0"/>
        <v>0</v>
      </c>
    </row>
    <row r="13" spans="1:12" s="9" customFormat="1" ht="17.25" customHeight="1" x14ac:dyDescent="0.25">
      <c r="A13" s="131"/>
      <c r="B13" s="20"/>
      <c r="C13" s="18"/>
      <c r="D13" s="19"/>
      <c r="E13" s="18"/>
      <c r="F13" s="18"/>
      <c r="G13" s="63"/>
      <c r="H13" s="63"/>
      <c r="I13" s="63"/>
      <c r="J13" s="67">
        <f t="shared" si="2"/>
        <v>0</v>
      </c>
      <c r="K13" s="64">
        <f>VLOOKUP(A13,'Потери рабочего времени'!$A$1:$H$26,8,FALSE)</f>
        <v>0</v>
      </c>
      <c r="L13" s="65">
        <f t="shared" si="0"/>
        <v>0</v>
      </c>
    </row>
    <row r="14" spans="1:12" s="9" customFormat="1" ht="17.25" customHeight="1" x14ac:dyDescent="0.25">
      <c r="A14" s="131"/>
      <c r="B14" s="20"/>
      <c r="C14" s="18"/>
      <c r="D14" s="19"/>
      <c r="E14" s="18"/>
      <c r="F14" s="18"/>
      <c r="G14" s="63"/>
      <c r="H14" s="63"/>
      <c r="I14" s="63"/>
      <c r="J14" s="67">
        <f t="shared" si="2"/>
        <v>0</v>
      </c>
      <c r="K14" s="64">
        <f>VLOOKUP(A14,'Потери рабочего времени'!$A$1:$H$26,8,FALSE)</f>
        <v>0</v>
      </c>
      <c r="L14" s="65">
        <f t="shared" si="0"/>
        <v>0</v>
      </c>
    </row>
    <row r="15" spans="1:12" s="9" customFormat="1" ht="17.25" customHeight="1" x14ac:dyDescent="0.25">
      <c r="A15" s="131"/>
      <c r="B15" s="20"/>
      <c r="C15" s="18"/>
      <c r="D15" s="19"/>
      <c r="E15" s="18"/>
      <c r="F15" s="18"/>
      <c r="G15" s="63"/>
      <c r="H15" s="63"/>
      <c r="I15" s="63"/>
      <c r="J15" s="67">
        <f t="shared" si="2"/>
        <v>0</v>
      </c>
      <c r="K15" s="64">
        <f>VLOOKUP(A15,'Потери рабочего времени'!$A$1:$H$26,8,FALSE)</f>
        <v>0</v>
      </c>
      <c r="L15" s="65">
        <f t="shared" si="0"/>
        <v>0</v>
      </c>
    </row>
    <row r="16" spans="1:12" s="9" customFormat="1" ht="17.25" customHeight="1" x14ac:dyDescent="0.25">
      <c r="A16" s="131"/>
      <c r="B16" s="20"/>
      <c r="C16" s="18"/>
      <c r="D16" s="19"/>
      <c r="E16" s="18"/>
      <c r="F16" s="18"/>
      <c r="G16" s="63"/>
      <c r="H16" s="63"/>
      <c r="I16" s="63"/>
      <c r="J16" s="67">
        <f t="shared" si="2"/>
        <v>0</v>
      </c>
      <c r="K16" s="64">
        <f>VLOOKUP(A16,'Потери рабочего времени'!$A$1:$H$26,8,FALSE)</f>
        <v>0</v>
      </c>
      <c r="L16" s="65">
        <f t="shared" si="0"/>
        <v>0</v>
      </c>
    </row>
    <row r="17" spans="1:12" s="9" customFormat="1" ht="17.25" customHeight="1" x14ac:dyDescent="0.25">
      <c r="A17" s="131"/>
      <c r="B17" s="20"/>
      <c r="C17" s="18"/>
      <c r="D17" s="19"/>
      <c r="E17" s="18"/>
      <c r="F17" s="18"/>
      <c r="G17" s="63"/>
      <c r="H17" s="63"/>
      <c r="I17" s="63"/>
      <c r="J17" s="67">
        <f t="shared" si="2"/>
        <v>0</v>
      </c>
      <c r="K17" s="64">
        <f>VLOOKUP(A17,'Потери рабочего времени'!$A$1:$H$26,8,FALSE)</f>
        <v>0</v>
      </c>
      <c r="L17" s="65">
        <f t="shared" si="0"/>
        <v>0</v>
      </c>
    </row>
    <row r="18" spans="1:12" s="9" customFormat="1" ht="17.25" customHeight="1" x14ac:dyDescent="0.25">
      <c r="A18" s="131"/>
      <c r="B18" s="20"/>
      <c r="C18" s="18"/>
      <c r="D18" s="19"/>
      <c r="E18" s="18"/>
      <c r="F18" s="18"/>
      <c r="G18" s="63"/>
      <c r="H18" s="63"/>
      <c r="I18" s="63"/>
      <c r="J18" s="67">
        <f t="shared" si="2"/>
        <v>0</v>
      </c>
      <c r="K18" s="64">
        <f>VLOOKUP(A18,'Потери рабочего времени'!$A$1:$H$26,8,FALSE)</f>
        <v>0</v>
      </c>
      <c r="L18" s="65">
        <f t="shared" si="0"/>
        <v>0</v>
      </c>
    </row>
    <row r="19" spans="1:12" s="9" customFormat="1" ht="17.25" customHeight="1" x14ac:dyDescent="0.25">
      <c r="A19" s="131"/>
      <c r="B19" s="20"/>
      <c r="C19" s="18"/>
      <c r="D19" s="19"/>
      <c r="E19" s="18"/>
      <c r="F19" s="18"/>
      <c r="G19" s="63"/>
      <c r="H19" s="63"/>
      <c r="I19" s="63"/>
      <c r="J19" s="67">
        <f t="shared" si="2"/>
        <v>0</v>
      </c>
      <c r="K19" s="64">
        <f>VLOOKUP(A19,'Потери рабочего времени'!$A$1:$H$26,8,FALSE)</f>
        <v>0</v>
      </c>
      <c r="L19" s="65">
        <f t="shared" si="0"/>
        <v>0</v>
      </c>
    </row>
    <row r="20" spans="1:12" s="9" customFormat="1" ht="17.25" customHeight="1" x14ac:dyDescent="0.25">
      <c r="A20" s="131"/>
      <c r="B20" s="20"/>
      <c r="C20" s="18"/>
      <c r="D20" s="19"/>
      <c r="E20" s="18"/>
      <c r="F20" s="18"/>
      <c r="G20" s="63"/>
      <c r="H20" s="63"/>
      <c r="I20" s="63"/>
      <c r="J20" s="67">
        <f t="shared" si="2"/>
        <v>0</v>
      </c>
      <c r="K20" s="64">
        <f>VLOOKUP(A20,'Потери рабочего времени'!$A$1:$H$26,8,FALSE)</f>
        <v>0</v>
      </c>
      <c r="L20" s="65">
        <f t="shared" si="0"/>
        <v>0</v>
      </c>
    </row>
    <row r="21" spans="1:12" s="9" customFormat="1" ht="17.25" customHeight="1" x14ac:dyDescent="0.25">
      <c r="A21" s="131"/>
      <c r="B21" s="20"/>
      <c r="C21" s="18"/>
      <c r="D21" s="19"/>
      <c r="E21" s="18"/>
      <c r="F21" s="18"/>
      <c r="G21" s="63"/>
      <c r="H21" s="63"/>
      <c r="I21" s="63"/>
      <c r="J21" s="67">
        <f t="shared" si="2"/>
        <v>0</v>
      </c>
      <c r="K21" s="64">
        <f>VLOOKUP(A21,'Потери рабочего времени'!$A$1:$H$26,8,FALSE)</f>
        <v>0</v>
      </c>
      <c r="L21" s="65">
        <f t="shared" si="0"/>
        <v>0</v>
      </c>
    </row>
    <row r="22" spans="1:12" s="8" customFormat="1" ht="15.75" x14ac:dyDescent="0.2">
      <c r="A22" s="131"/>
      <c r="B22" s="20"/>
      <c r="C22" s="18"/>
      <c r="D22" s="19"/>
      <c r="E22" s="18"/>
      <c r="F22" s="18"/>
      <c r="G22" s="63"/>
      <c r="H22" s="63"/>
      <c r="I22" s="63"/>
      <c r="J22" s="67">
        <f t="shared" si="2"/>
        <v>0</v>
      </c>
      <c r="K22" s="64">
        <f>VLOOKUP(A22,'Потери рабочего времени'!$A$1:$H$26,8,FALSE)</f>
        <v>0</v>
      </c>
      <c r="L22" s="65">
        <f t="shared" si="0"/>
        <v>0</v>
      </c>
    </row>
    <row r="23" spans="1:12" s="9" customFormat="1" ht="17.25" customHeight="1" x14ac:dyDescent="0.25">
      <c r="A23" s="131"/>
      <c r="B23" s="20"/>
      <c r="C23" s="18"/>
      <c r="D23" s="19"/>
      <c r="E23" s="18"/>
      <c r="F23" s="18"/>
      <c r="G23" s="63"/>
      <c r="H23" s="63"/>
      <c r="I23" s="63"/>
      <c r="J23" s="67">
        <f t="shared" si="2"/>
        <v>0</v>
      </c>
      <c r="K23" s="64">
        <f>VLOOKUP(A23,'Потери рабочего времени'!$A$1:$H$26,8,FALSE)</f>
        <v>0</v>
      </c>
      <c r="L23" s="65">
        <f t="shared" si="0"/>
        <v>0</v>
      </c>
    </row>
    <row r="24" spans="1:12" s="9" customFormat="1" ht="17.25" customHeight="1" x14ac:dyDescent="0.25">
      <c r="A24" s="131"/>
      <c r="B24" s="20"/>
      <c r="C24" s="18"/>
      <c r="D24" s="19"/>
      <c r="E24" s="18"/>
      <c r="F24" s="18"/>
      <c r="G24" s="63"/>
      <c r="H24" s="63"/>
      <c r="I24" s="63"/>
      <c r="J24" s="67">
        <f t="shared" si="2"/>
        <v>0</v>
      </c>
      <c r="K24" s="64">
        <f>VLOOKUP(A24,'Потери рабочего времени'!$A$1:$H$26,8,FALSE)</f>
        <v>0</v>
      </c>
      <c r="L24" s="65">
        <f t="shared" si="0"/>
        <v>0</v>
      </c>
    </row>
    <row r="25" spans="1:12" s="9" customFormat="1" ht="17.25" customHeight="1" x14ac:dyDescent="0.25">
      <c r="A25" s="131"/>
      <c r="B25" s="20"/>
      <c r="C25" s="18"/>
      <c r="D25" s="19"/>
      <c r="E25" s="18"/>
      <c r="F25" s="18"/>
      <c r="G25" s="63"/>
      <c r="H25" s="63"/>
      <c r="I25" s="63"/>
      <c r="J25" s="67">
        <f t="shared" si="2"/>
        <v>0</v>
      </c>
      <c r="K25" s="64">
        <f>VLOOKUP(A25,'Потери рабочего времени'!$A$1:$H$26,8,FALSE)</f>
        <v>0</v>
      </c>
      <c r="L25" s="65">
        <f t="shared" si="0"/>
        <v>0</v>
      </c>
    </row>
    <row r="26" spans="1:12" s="9" customFormat="1" ht="17.25" customHeight="1" x14ac:dyDescent="0.25">
      <c r="A26" s="131"/>
      <c r="B26" s="20"/>
      <c r="C26" s="18"/>
      <c r="D26" s="19"/>
      <c r="E26" s="18"/>
      <c r="F26" s="18"/>
      <c r="G26" s="63"/>
      <c r="H26" s="63"/>
      <c r="I26" s="63"/>
      <c r="J26" s="67">
        <f t="shared" si="2"/>
        <v>0</v>
      </c>
      <c r="K26" s="64">
        <f>VLOOKUP(A26,'Потери рабочего времени'!$A$1:$H$26,8,FALSE)</f>
        <v>0</v>
      </c>
      <c r="L26" s="65">
        <f t="shared" si="0"/>
        <v>0</v>
      </c>
    </row>
    <row r="27" spans="1:12" s="9" customFormat="1" ht="17.25" customHeight="1" x14ac:dyDescent="0.25">
      <c r="A27" s="131"/>
      <c r="B27" s="20"/>
      <c r="C27" s="18"/>
      <c r="D27" s="19"/>
      <c r="E27" s="18"/>
      <c r="F27" s="18"/>
      <c r="G27" s="63"/>
      <c r="H27" s="63"/>
      <c r="I27" s="63"/>
      <c r="J27" s="67">
        <f t="shared" si="2"/>
        <v>0</v>
      </c>
      <c r="K27" s="64">
        <f>VLOOKUP(A27,'Потери рабочего времени'!$A$1:$H$26,8,FALSE)</f>
        <v>0</v>
      </c>
      <c r="L27" s="65">
        <f t="shared" si="0"/>
        <v>0</v>
      </c>
    </row>
    <row r="28" spans="1:12" s="9" customFormat="1" ht="17.25" customHeight="1" x14ac:dyDescent="0.25">
      <c r="A28" s="131"/>
      <c r="B28" s="20"/>
      <c r="C28" s="18"/>
      <c r="D28" s="19"/>
      <c r="E28" s="18"/>
      <c r="F28" s="18"/>
      <c r="G28" s="63"/>
      <c r="H28" s="63"/>
      <c r="I28" s="63"/>
      <c r="J28" s="67">
        <f t="shared" si="2"/>
        <v>0</v>
      </c>
      <c r="K28" s="64">
        <f>VLOOKUP(A28,'Потери рабочего времени'!$A$1:$H$26,8,FALSE)</f>
        <v>0</v>
      </c>
      <c r="L28" s="65">
        <f t="shared" si="0"/>
        <v>0</v>
      </c>
    </row>
    <row r="29" spans="1:12" s="9" customFormat="1" ht="17.25" customHeight="1" x14ac:dyDescent="0.25">
      <c r="A29" s="131"/>
      <c r="B29" s="20"/>
      <c r="C29" s="18"/>
      <c r="D29" s="19"/>
      <c r="E29" s="18"/>
      <c r="F29" s="18"/>
      <c r="G29" s="63"/>
      <c r="H29" s="63"/>
      <c r="I29" s="63"/>
      <c r="J29" s="67">
        <f t="shared" si="2"/>
        <v>0</v>
      </c>
      <c r="K29" s="64">
        <f>VLOOKUP(A29,'Потери рабочего времени'!$A$1:$H$26,8,FALSE)</f>
        <v>0</v>
      </c>
      <c r="L29" s="65">
        <f t="shared" si="0"/>
        <v>0</v>
      </c>
    </row>
    <row r="30" spans="1:12" s="9" customFormat="1" ht="17.25" customHeight="1" x14ac:dyDescent="0.25">
      <c r="A30" s="131"/>
      <c r="B30" s="20"/>
      <c r="C30" s="18"/>
      <c r="D30" s="19"/>
      <c r="E30" s="18"/>
      <c r="F30" s="18"/>
      <c r="G30" s="63"/>
      <c r="H30" s="63"/>
      <c r="I30" s="63"/>
      <c r="J30" s="67">
        <f t="shared" si="2"/>
        <v>0</v>
      </c>
      <c r="K30" s="64">
        <f>VLOOKUP(A30,'Потери рабочего времени'!$A$1:$H$26,8,FALSE)</f>
        <v>0</v>
      </c>
      <c r="L30" s="65">
        <f t="shared" si="0"/>
        <v>0</v>
      </c>
    </row>
    <row r="31" spans="1:12" s="8" customFormat="1" ht="15.75" x14ac:dyDescent="0.2">
      <c r="A31" s="131"/>
      <c r="B31" s="20"/>
      <c r="C31" s="18"/>
      <c r="D31" s="19"/>
      <c r="E31" s="18"/>
      <c r="F31" s="18"/>
      <c r="G31" s="63"/>
      <c r="H31" s="63"/>
      <c r="I31" s="63"/>
      <c r="J31" s="67">
        <f t="shared" si="2"/>
        <v>0</v>
      </c>
      <c r="K31" s="64">
        <f>IF(A31=0,0,VLOOKUP(A31,'Потери рабочего времени'!$A$1:$H$16,8,FALSE))</f>
        <v>0</v>
      </c>
      <c r="L31" s="65">
        <f t="shared" si="0"/>
        <v>0</v>
      </c>
    </row>
    <row r="32" spans="1:12" s="9" customFormat="1" ht="17.25" customHeight="1" x14ac:dyDescent="0.25">
      <c r="A32" s="131"/>
      <c r="B32" s="20"/>
      <c r="C32" s="18"/>
      <c r="D32" s="19"/>
      <c r="E32" s="18"/>
      <c r="F32" s="18"/>
      <c r="G32" s="63"/>
      <c r="H32" s="63"/>
      <c r="I32" s="63"/>
      <c r="J32" s="67">
        <f t="shared" si="2"/>
        <v>0</v>
      </c>
      <c r="K32" s="64">
        <f>IF(A32=0,0,VLOOKUP(A32,'Потери рабочего времени'!$A$1:$H$16,8,FALSE))</f>
        <v>0</v>
      </c>
      <c r="L32" s="65">
        <f t="shared" si="0"/>
        <v>0</v>
      </c>
    </row>
    <row r="33" spans="1:12" s="9" customFormat="1" ht="17.25" customHeight="1" x14ac:dyDescent="0.25">
      <c r="A33" s="131"/>
      <c r="B33" s="20"/>
      <c r="C33" s="18"/>
      <c r="D33" s="19"/>
      <c r="E33" s="18"/>
      <c r="F33" s="18"/>
      <c r="G33" s="63"/>
      <c r="H33" s="63"/>
      <c r="I33" s="63"/>
      <c r="J33" s="67">
        <f t="shared" si="2"/>
        <v>0</v>
      </c>
      <c r="K33" s="64">
        <f>IF(A33=0,0,VLOOKUP(A33,'Потери рабочего времени'!$A$1:$H$16,8,FALSE))</f>
        <v>0</v>
      </c>
      <c r="L33" s="65">
        <f t="shared" si="0"/>
        <v>0</v>
      </c>
    </row>
    <row r="34" spans="1:12" s="9" customFormat="1" ht="17.25" customHeight="1" x14ac:dyDescent="0.25">
      <c r="A34" s="131"/>
      <c r="B34" s="20"/>
      <c r="C34" s="18"/>
      <c r="D34" s="19"/>
      <c r="E34" s="18"/>
      <c r="F34" s="18"/>
      <c r="G34" s="63"/>
      <c r="H34" s="63"/>
      <c r="I34" s="63"/>
      <c r="J34" s="67">
        <f t="shared" si="2"/>
        <v>0</v>
      </c>
      <c r="K34" s="64">
        <f>IF(A34=0,0,VLOOKUP(A34,'Потери рабочего времени'!$A$1:$H$16,8,FALSE))</f>
        <v>0</v>
      </c>
      <c r="L34" s="65">
        <f t="shared" si="0"/>
        <v>0</v>
      </c>
    </row>
    <row r="35" spans="1:12" s="9" customFormat="1" ht="17.25" customHeight="1" x14ac:dyDescent="0.25">
      <c r="A35" s="131"/>
      <c r="B35" s="20"/>
      <c r="C35" s="18"/>
      <c r="D35" s="19"/>
      <c r="E35" s="18"/>
      <c r="F35" s="18"/>
      <c r="G35" s="63"/>
      <c r="H35" s="63"/>
      <c r="I35" s="63"/>
      <c r="J35" s="67">
        <f t="shared" si="2"/>
        <v>0</v>
      </c>
      <c r="K35" s="64">
        <f>IF(A35=0,0,VLOOKUP(A35,'Потери рабочего времени'!$A$1:$H$16,8,FALSE))</f>
        <v>0</v>
      </c>
      <c r="L35" s="65">
        <f t="shared" si="0"/>
        <v>0</v>
      </c>
    </row>
  </sheetData>
  <sheetProtection sheet="1" objects="1" scenarios="1" selectLockedCells="1"/>
  <conditionalFormatting sqref="G30:G35 H9:H35 G9:G18 G2:H8 J2:K35">
    <cfRule type="cellIs" dxfId="67" priority="21" operator="equal">
      <formula>0</formula>
    </cfRule>
    <cfRule type="expression" dxfId="66" priority="24">
      <formula>0</formula>
    </cfRule>
  </conditionalFormatting>
  <conditionalFormatting sqref="K2:K30">
    <cfRule type="expression" dxfId="65" priority="22">
      <formula>0</formula>
    </cfRule>
    <cfRule type="expression" dxfId="64" priority="23">
      <formula>0</formula>
    </cfRule>
  </conditionalFormatting>
  <conditionalFormatting sqref="G19:G29">
    <cfRule type="cellIs" dxfId="63" priority="13" operator="equal">
      <formula>0</formula>
    </cfRule>
    <cfRule type="expression" dxfId="62" priority="14">
      <formula>0</formula>
    </cfRule>
  </conditionalFormatting>
  <conditionalFormatting sqref="I30:I35 I2:I18">
    <cfRule type="cellIs" dxfId="61" priority="5" operator="equal">
      <formula>0</formula>
    </cfRule>
    <cfRule type="expression" dxfId="60" priority="6">
      <formula>0</formula>
    </cfRule>
  </conditionalFormatting>
  <conditionalFormatting sqref="I19:I29">
    <cfRule type="cellIs" dxfId="59" priority="3" operator="equal">
      <formula>0</formula>
    </cfRule>
    <cfRule type="expression" dxfId="58" priority="4">
      <formula>0</formula>
    </cfRule>
  </conditionalFormatting>
  <conditionalFormatting sqref="A1:K1048576">
    <cfRule type="cellIs" dxfId="57" priority="2" operator="equal">
      <formula>0</formula>
    </cfRule>
  </conditionalFormatting>
  <conditionalFormatting sqref="L4:L35">
    <cfRule type="cellIs" dxfId="56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'Штатные должности'!$A$1:$A$100</xm:f>
          </x14:formula1>
          <xm:sqref>A2:A35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36"/>
  <sheetViews>
    <sheetView zoomScale="89" zoomScaleNormal="89" workbookViewId="0">
      <pane xSplit="1" ySplit="3" topLeftCell="G4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5" x14ac:dyDescent="0.25"/>
  <cols>
    <col min="1" max="1" width="25.85546875" customWidth="1"/>
    <col min="2" max="2" width="8.28515625" style="3" hidden="1" customWidth="1"/>
    <col min="3" max="3" width="6.28515625" style="3" hidden="1" customWidth="1"/>
    <col min="4" max="4" width="11.140625" style="3" hidden="1" customWidth="1"/>
    <col min="5" max="5" width="7.85546875" style="3" hidden="1" customWidth="1"/>
    <col min="6" max="6" width="10.5703125" style="3" hidden="1" customWidth="1"/>
    <col min="7" max="7" width="6.28515625" style="3" hidden="1" customWidth="1"/>
    <col min="8" max="8" width="12" style="6" customWidth="1"/>
    <col min="9" max="9" width="13.140625" style="62" customWidth="1"/>
    <col min="10" max="10" width="12.85546875" style="38" customWidth="1"/>
    <col min="11" max="11" width="11.5703125" style="3" customWidth="1"/>
    <col min="12" max="12" width="11.28515625" style="3" hidden="1" customWidth="1"/>
    <col min="13" max="13" width="6.28515625" style="3" hidden="1" customWidth="1"/>
    <col min="14" max="14" width="10.85546875" style="3" customWidth="1"/>
    <col min="15" max="15" width="5.85546875" style="3" hidden="1" customWidth="1"/>
    <col min="16" max="16" width="12.5703125" style="3" customWidth="1"/>
    <col min="17" max="17" width="14" style="38" hidden="1" customWidth="1"/>
    <col min="18" max="18" width="5.140625" style="3" hidden="1" customWidth="1"/>
    <col min="19" max="19" width="10.7109375" customWidth="1"/>
    <col min="20" max="20" width="12.7109375" style="3" hidden="1" customWidth="1"/>
    <col min="21" max="21" width="9.28515625" customWidth="1"/>
    <col min="22" max="22" width="11.28515625" style="3" customWidth="1"/>
    <col min="23" max="23" width="12" customWidth="1"/>
    <col min="24" max="24" width="12.42578125" customWidth="1"/>
    <col min="25" max="25" width="12.5703125" style="6" customWidth="1"/>
    <col min="26" max="26" width="12.85546875" customWidth="1"/>
    <col min="27" max="27" width="15" customWidth="1"/>
    <col min="28" max="28" width="13.85546875" customWidth="1"/>
    <col min="29" max="29" width="18.42578125" style="44" customWidth="1"/>
    <col min="30" max="30" width="14.5703125" customWidth="1"/>
  </cols>
  <sheetData>
    <row r="1" spans="1:30" s="44" customFormat="1" ht="7.5" customHeight="1" x14ac:dyDescent="0.25">
      <c r="H1" s="6"/>
      <c r="I1" s="62"/>
      <c r="J1" s="38"/>
      <c r="Q1" s="38"/>
      <c r="Y1" s="6"/>
    </row>
    <row r="2" spans="1:30" s="42" customFormat="1" ht="38.25" customHeight="1" thickBot="1" x14ac:dyDescent="0.35">
      <c r="A2" s="46" t="s">
        <v>33</v>
      </c>
      <c r="B2" s="35" t="s">
        <v>42</v>
      </c>
      <c r="C2" s="40"/>
      <c r="D2" s="35" t="s">
        <v>42</v>
      </c>
      <c r="E2" s="40"/>
      <c r="F2" s="35" t="s">
        <v>42</v>
      </c>
      <c r="G2" s="40"/>
      <c r="H2" s="35" t="s">
        <v>37</v>
      </c>
      <c r="I2" s="35" t="s">
        <v>37</v>
      </c>
      <c r="J2" s="35" t="s">
        <v>37</v>
      </c>
      <c r="L2" s="35" t="s">
        <v>42</v>
      </c>
      <c r="M2" s="40"/>
      <c r="N2" s="35" t="s">
        <v>42</v>
      </c>
      <c r="O2" s="40"/>
      <c r="P2" s="35" t="s">
        <v>42</v>
      </c>
      <c r="Q2" s="41"/>
      <c r="R2" s="40"/>
      <c r="T2" s="43">
        <v>1970</v>
      </c>
      <c r="U2" s="51">
        <f>SUM(U4:U28)</f>
        <v>3.8040349348433282</v>
      </c>
      <c r="V2" s="51">
        <f>SUM(V4:V28)</f>
        <v>6</v>
      </c>
      <c r="W2" s="51">
        <f t="shared" ref="W2:AD2" si="0">SUM(W4:W28)</f>
        <v>8</v>
      </c>
      <c r="X2" s="51">
        <f t="shared" si="0"/>
        <v>-2</v>
      </c>
      <c r="Y2" s="52">
        <f>SUM(Y4:Y35)/COUNTIF(Y4:Y28,"&gt;0")</f>
        <v>0.46880557323736249</v>
      </c>
      <c r="Z2" s="52">
        <f>SUM(Z4:Z35)/COUNTIF(Z4:Z28,"&gt;0")</f>
        <v>0.53720594976540914</v>
      </c>
      <c r="AA2" s="57">
        <f t="shared" si="0"/>
        <v>216256.78080902714</v>
      </c>
      <c r="AB2" s="57">
        <f t="shared" si="0"/>
        <v>305000</v>
      </c>
      <c r="AC2" s="57">
        <f t="shared" si="0"/>
        <v>380000</v>
      </c>
      <c r="AD2" s="57">
        <f t="shared" si="0"/>
        <v>-75000</v>
      </c>
    </row>
    <row r="3" spans="1:30" s="3" customFormat="1" ht="177.75" customHeight="1" x14ac:dyDescent="0.25">
      <c r="A3" s="60" t="s">
        <v>1</v>
      </c>
      <c r="B3" s="53" t="s">
        <v>49</v>
      </c>
      <c r="C3" s="53"/>
      <c r="D3" s="53" t="s">
        <v>50</v>
      </c>
      <c r="E3" s="53"/>
      <c r="F3" s="53" t="s">
        <v>30</v>
      </c>
      <c r="G3" s="53"/>
      <c r="H3" s="54" t="s">
        <v>131</v>
      </c>
      <c r="I3" s="87" t="s">
        <v>46</v>
      </c>
      <c r="J3" s="55" t="s">
        <v>44</v>
      </c>
      <c r="K3" s="54" t="s">
        <v>48</v>
      </c>
      <c r="L3" s="56" t="s">
        <v>31</v>
      </c>
      <c r="M3" s="56" t="s">
        <v>41</v>
      </c>
      <c r="N3" s="56" t="s">
        <v>122</v>
      </c>
      <c r="O3" s="56" t="s">
        <v>32</v>
      </c>
      <c r="P3" s="97" t="s">
        <v>57</v>
      </c>
      <c r="Q3" s="97" t="s">
        <v>58</v>
      </c>
      <c r="R3" s="61" t="s">
        <v>3</v>
      </c>
      <c r="S3" s="47" t="s">
        <v>2</v>
      </c>
      <c r="T3" s="47" t="s">
        <v>39</v>
      </c>
      <c r="U3" s="48" t="s">
        <v>132</v>
      </c>
      <c r="V3" s="48" t="s">
        <v>133</v>
      </c>
      <c r="W3" s="47" t="s">
        <v>4</v>
      </c>
      <c r="X3" s="47" t="s">
        <v>7</v>
      </c>
      <c r="Y3" s="47" t="s">
        <v>5</v>
      </c>
      <c r="Z3" s="49" t="s">
        <v>136</v>
      </c>
      <c r="AA3" s="50" t="s">
        <v>134</v>
      </c>
      <c r="AB3" s="50" t="s">
        <v>135</v>
      </c>
      <c r="AC3" s="50" t="s">
        <v>43</v>
      </c>
      <c r="AD3" s="50" t="s">
        <v>161</v>
      </c>
    </row>
    <row r="4" spans="1:30" s="7" customFormat="1" ht="62.25" customHeight="1" x14ac:dyDescent="0.25">
      <c r="A4" s="100" t="s">
        <v>108</v>
      </c>
      <c r="B4" s="35" t="s">
        <v>37</v>
      </c>
      <c r="C4" s="36">
        <f>IF(A4=0,0,VLOOKUP(A4,'2Рабочее время'!$A$1:$K$100,7,FALSE)/365)</f>
        <v>7.6712328767123292E-2</v>
      </c>
      <c r="D4" s="35" t="s">
        <v>37</v>
      </c>
      <c r="E4" s="37">
        <f>IF(A4=0,0,VLOOKUP(A4,'2Рабочее время'!$A$1:$K$100,9,FALSE)/365)</f>
        <v>1.9178082191780823E-2</v>
      </c>
      <c r="F4" s="79" t="s">
        <v>37</v>
      </c>
      <c r="G4" s="80">
        <f>IF(A4=0,0,VLOOKUP(A4,'2Рабочее время'!$A$1:$K$100,8,FALSE)/365)</f>
        <v>3.8356164383561646E-2</v>
      </c>
      <c r="H4" s="81">
        <v>0.3</v>
      </c>
      <c r="I4" s="88">
        <f>IF(A4=0,0,VLOOKUP(A4,'2Рабочее время'!$A$1:$L$100,12,FALSE))</f>
        <v>4.0492387431162943E-2</v>
      </c>
      <c r="J4" s="82"/>
      <c r="K4" s="81">
        <f>IF(A4=0,0,J4/VLOOKUP(A4,'2Рабочее время'!$A:$L,4,FALSE))</f>
        <v>0</v>
      </c>
      <c r="L4" s="79"/>
      <c r="M4" s="79">
        <f>IF(AND($L$2="+",L4&gt;0),L4,1)</f>
        <v>1</v>
      </c>
      <c r="N4" s="81">
        <v>1</v>
      </c>
      <c r="O4" s="83">
        <f>IF($N$2="+",(IF(N4-1&gt;0,1/N4,IF(N4-1&lt;0,1/N4,IF(N4=1,1)))),1)</f>
        <v>1</v>
      </c>
      <c r="P4" s="98">
        <f>VLOOKUP(A4,'Потери рабочего времени'!$A$1:$H$100,8,FALSE)/60</f>
        <v>0.75</v>
      </c>
      <c r="Q4" s="99">
        <f>IF(A4=0,0,IF($P$2="+",(VLOOKUP(A4,'Потери рабочего времени'!$A$1:$H$30,8,FALSE))/60/VLOOKUP(A4,'2Рабочее время'!$A$1:$L$35,4),0))</f>
        <v>0</v>
      </c>
      <c r="R4" s="84"/>
      <c r="S4" s="13">
        <f>SUMIF('1Описание работ'!D:D,A4,'1Описание работ'!Y:Y)*(1+IF($I$2="+",I4,0)+IF($H$2="+",H4,0)+IF($J$2="+",K4,0)+Q4)*O4*M4</f>
        <v>118.18674549184755</v>
      </c>
      <c r="T4" s="15">
        <f>IF(B4="+",C4,0)+IF(D4="+",E4,0)+IF(F4="+",G4,0)</f>
        <v>0.13424657534246576</v>
      </c>
      <c r="U4" s="13">
        <f>IF(S4=0,0,S4/VLOOKUP(A4,'2Рабочее время'!$A$1:$L$100,10,FALSE))*(1+(IF(AND($D$2="+",D4="+"),E4,0))+(IF(AND($F$2="+",F4="+"),G4,0))+(IF(AND($B$2="+",B4="+"),C4,0)))</f>
        <v>0.71784952315262118</v>
      </c>
      <c r="V4" s="14">
        <f>(IF(U4=0,0,IF(U4=0,0,IF((U4-INT(U4))/U4&lt;15%,ROUNDDOWN(U4,0),ROUNDUP(U4,0)))))</f>
        <v>1</v>
      </c>
      <c r="W4" s="14">
        <f>IF(A4=0,0,VLOOKUP(A4,'Штатные должности'!$A:$C,2,FALSE))</f>
        <v>1</v>
      </c>
      <c r="X4" s="14">
        <f>IF(V4=0,0,V4-W4)</f>
        <v>0</v>
      </c>
      <c r="Y4" s="32">
        <f>IF(A4=0,0,S4/(W4*VLOOKUP(A4,'2Рабочее время'!$A:$L,10,FALSE)))</f>
        <v>0.71784952315262118</v>
      </c>
      <c r="Z4" s="32">
        <f>IF(S4&gt;0,(IF(A4=0,0,S4/(V4*VLOOKUP(A4,'2Рабочее время'!$A:$L,10,FALSE)))),0)</f>
        <v>0.71784952315262118</v>
      </c>
      <c r="AA4" s="39">
        <f>IF(A4=0,0,U4*VLOOKUP(A4,'Штатные должности'!$A:$C,3,FALSE))</f>
        <v>71784.952315262111</v>
      </c>
      <c r="AB4" s="39">
        <f>IF(A4=0,0,V4*VLOOKUP(A4,'Штатные должности'!$A:$C,3,FALSE))</f>
        <v>100000</v>
      </c>
      <c r="AC4" s="39">
        <f>IF(A4=0,0,W4*VLOOKUP(A4,'Штатные должности'!$A:$C,3,FALSE))</f>
        <v>100000</v>
      </c>
      <c r="AD4" s="39">
        <f>AB4-AC4</f>
        <v>0</v>
      </c>
    </row>
    <row r="5" spans="1:30" s="11" customFormat="1" ht="30.75" customHeight="1" x14ac:dyDescent="0.25">
      <c r="A5" s="100" t="s">
        <v>110</v>
      </c>
      <c r="B5" s="35" t="s">
        <v>37</v>
      </c>
      <c r="C5" s="36">
        <f>IF(A5=0,0,VLOOKUP(A5,'2Рабочее время'!$A$1:$K$100,7,FALSE)/365)</f>
        <v>7.6712328767123292E-2</v>
      </c>
      <c r="D5" s="35" t="s">
        <v>37</v>
      </c>
      <c r="E5" s="37">
        <f>IF(A5=0,0,VLOOKUP(A5,'2Рабочее время'!$A$1:$K$100,9,FALSE)/365)</f>
        <v>1.9178082191780823E-2</v>
      </c>
      <c r="F5" s="79" t="s">
        <v>37</v>
      </c>
      <c r="G5" s="80">
        <f>IF(A5=0,0,VLOOKUP(A5,'2Рабочее время'!$A$1:$K$100,8,FALSE)/365)</f>
        <v>3.8356164383561646E-2</v>
      </c>
      <c r="H5" s="81">
        <v>0.2</v>
      </c>
      <c r="I5" s="88">
        <f>IF(A5=0,0,VLOOKUP(A5,'2Рабочее время'!$A$1:$L$100,12,FALSE))</f>
        <v>4.0492387431162943E-2</v>
      </c>
      <c r="J5" s="82"/>
      <c r="K5" s="81">
        <f>IF(A5=0,0,J5/VLOOKUP(A5,'2Рабочее время'!$A:$L,4,FALSE))</f>
        <v>0</v>
      </c>
      <c r="L5" s="79"/>
      <c r="M5" s="79">
        <f t="shared" ref="M5:M10" si="1">IF(AND($L$2="+",L5&gt;0),L5,1)</f>
        <v>1</v>
      </c>
      <c r="N5" s="81">
        <v>1</v>
      </c>
      <c r="O5" s="83">
        <f t="shared" ref="O5:O35" si="2">IF($N$2="+",(IF(N5-1&gt;0,1/N5,IF(N5-1&lt;0,1/N5,IF(N5=1,1)))),1)</f>
        <v>1</v>
      </c>
      <c r="P5" s="98">
        <f>VLOOKUP(A5,'Потери рабочего времени'!$A$1:$H$100,8,FALSE)/60</f>
        <v>0.71666666666666667</v>
      </c>
      <c r="Q5" s="99">
        <f>IF(A5=0,0,IF($P$2="+",(VLOOKUP(A5,'Потери рабочего времени'!$A$1:$H$30,8,FALSE))/60/VLOOKUP(A5,'2Рабочее время'!$A$1:$L$35,4),0))</f>
        <v>0</v>
      </c>
      <c r="R5" s="85"/>
      <c r="S5" s="13">
        <f>SUMIF('1Описание работ'!D:D,A5,'1Описание работ'!Y:Y)*(1+IF($I$2="+",I5,0)+IF($H$2="+",H5,0)+IF($J$2="+",K5,0)+Q5)*O5*M5</f>
        <v>42.898707742144467</v>
      </c>
      <c r="T5" s="15">
        <f t="shared" ref="T5:T28" si="3">IF(B5="+",C5,0)+IF(D5="+",E5,0)+IF(F5="+",G5,0)</f>
        <v>0.13424657534246576</v>
      </c>
      <c r="U5" s="13">
        <f>IF(S5=0,0,S5/VLOOKUP(A5,'2Рабочее время'!$A$1:$L$100,10,FALSE))*(1+(IF(AND($D$2="+",D5="+"),E5,0))+(IF(AND($F$2="+",F5="+"),G5,0))+(IF(AND($B$2="+",B5="+"),C5,0)))</f>
        <v>0.26056066412867146</v>
      </c>
      <c r="V5" s="14">
        <f t="shared" ref="V5:V10" si="4">(IF(U5=0,0,IF(U5=0,0,IF((U5-INT(U5))/U5&lt;15%,ROUNDDOWN(U5,0),ROUNDUP(U5,0)))))</f>
        <v>1</v>
      </c>
      <c r="W5" s="14">
        <f>IF(A5=0,0,VLOOKUP(A5,'Штатные должности'!$A:$C,2,FALSE))</f>
        <v>2</v>
      </c>
      <c r="X5" s="14">
        <f t="shared" ref="X5:X10" si="5">IF(V5=0,0,V5-W5)</f>
        <v>-1</v>
      </c>
      <c r="Y5" s="32">
        <f>IF(A5=0,0,S5/(W5*VLOOKUP(A5,'2Рабочее время'!$A:$L,10,FALSE)))</f>
        <v>0.13028033206433573</v>
      </c>
      <c r="Z5" s="32">
        <f>IF(S5&gt;0,(IF(A5=0,0,S5/(V5*VLOOKUP(A5,'2Рабочее время'!$A:$L,10,FALSE)))),0)</f>
        <v>0.26056066412867146</v>
      </c>
      <c r="AA5" s="39">
        <f>IF(A5=0,0,U5*VLOOKUP(A5,'Штатные должности'!$A:$C,3,FALSE))</f>
        <v>6514.0166032167863</v>
      </c>
      <c r="AB5" s="39">
        <f>IF(A5=0,0,V5*VLOOKUP(A5,'Штатные должности'!$A:$C,3,FALSE))</f>
        <v>25000</v>
      </c>
      <c r="AC5" s="39">
        <f>IF(A5=0,0,W5*VLOOKUP(A5,'Штатные должности'!$A:$C,3,FALSE))</f>
        <v>50000</v>
      </c>
      <c r="AD5" s="39">
        <f t="shared" ref="AD5:AD10" si="6">AB5-AC5</f>
        <v>-25000</v>
      </c>
    </row>
    <row r="6" spans="1:30" s="10" customFormat="1" ht="45" customHeight="1" x14ac:dyDescent="0.25">
      <c r="A6" s="100" t="s">
        <v>111</v>
      </c>
      <c r="B6" s="35" t="s">
        <v>37</v>
      </c>
      <c r="C6" s="36">
        <f>IF(A6=0,0,VLOOKUP(A6,'2Рабочее время'!$A$1:$K$100,7,FALSE)/365)</f>
        <v>7.6712328767123292E-2</v>
      </c>
      <c r="D6" s="35" t="s">
        <v>37</v>
      </c>
      <c r="E6" s="37">
        <f>IF(A6=0,0,VLOOKUP(A6,'2Рабочее время'!$A$1:$K$100,9,FALSE)/365)</f>
        <v>1.9178082191780823E-2</v>
      </c>
      <c r="F6" s="79" t="s">
        <v>37</v>
      </c>
      <c r="G6" s="80">
        <f>IF(A6=0,0,VLOOKUP(A6,'2Рабочее время'!$A$1:$K$100,8,FALSE)/365)</f>
        <v>3.8356164383561646E-2</v>
      </c>
      <c r="H6" s="81">
        <v>0.2</v>
      </c>
      <c r="I6" s="88">
        <f>IF(A6=0,0,VLOOKUP(A6,'2Рабочее время'!$A$1:$L$100,12,FALSE))</f>
        <v>4.0492387431162943E-2</v>
      </c>
      <c r="J6" s="82"/>
      <c r="K6" s="81">
        <f>IF(A6=0,0,J6/VLOOKUP(A6,'2Рабочее время'!$A:$L,4,FALSE))</f>
        <v>0</v>
      </c>
      <c r="L6" s="79"/>
      <c r="M6" s="79">
        <f t="shared" si="1"/>
        <v>1</v>
      </c>
      <c r="N6" s="81">
        <v>1</v>
      </c>
      <c r="O6" s="83">
        <f t="shared" si="2"/>
        <v>1</v>
      </c>
      <c r="P6" s="98">
        <f>VLOOKUP(A6,'Потери рабочего времени'!$A$1:$H$100,8,FALSE)/60</f>
        <v>0.6333333333333333</v>
      </c>
      <c r="Q6" s="99">
        <f>IF(A6=0,0,IF($P$2="+",(VLOOKUP(A6,'Потери рабочего времени'!$A$1:$H$30,8,FALSE))/60/VLOOKUP(A6,'2Рабочее время'!$A$1:$L$35,4),0))</f>
        <v>0</v>
      </c>
      <c r="R6" s="86"/>
      <c r="S6" s="13">
        <f>SUMIF('1Описание работ'!D:D,A6,'1Описание работ'!Y:Y)*(1+IF($I$2="+",I6,0)+IF($H$2="+",H6,0)+IF($J$2="+",K6,0)+Q6)*O6*M6</f>
        <v>69.715672173631347</v>
      </c>
      <c r="T6" s="15">
        <f t="shared" si="3"/>
        <v>0.13424657534246576</v>
      </c>
      <c r="U6" s="13">
        <f>IF(S6=0,0,S6/VLOOKUP(A6,'2Рабочее время'!$A$1:$L$100,10,FALSE))*(1+(IF(AND($D$2="+",D6="+"),E6,0))+(IF(AND($F$2="+",F6="+"),G6,0))+(IF(AND($B$2="+",B6="+"),C6,0)))</f>
        <v>0.42344310115179395</v>
      </c>
      <c r="V6" s="14">
        <f t="shared" si="4"/>
        <v>1</v>
      </c>
      <c r="W6" s="14">
        <f>IF(A6=0,0,VLOOKUP(A6,'Штатные должности'!$A:$C,2,FALSE))</f>
        <v>2</v>
      </c>
      <c r="X6" s="14">
        <f t="shared" si="5"/>
        <v>-1</v>
      </c>
      <c r="Y6" s="32">
        <f>IF(A6=0,0,S6/(W6*VLOOKUP(A6,'2Рабочее время'!$A:$L,10,FALSE)))</f>
        <v>0.21172155057589698</v>
      </c>
      <c r="Z6" s="32">
        <f>IF(S6&gt;0,(IF(A6=0,0,S6/(V6*VLOOKUP(A6,'2Рабочее время'!$A:$L,10,FALSE)))),0)</f>
        <v>0.42344310115179395</v>
      </c>
      <c r="AA6" s="39">
        <f>IF(A6=0,0,U6*VLOOKUP(A6,'Штатные должности'!$A:$C,3,FALSE))</f>
        <v>21172.155057589698</v>
      </c>
      <c r="AB6" s="39">
        <f>IF(A6=0,0,V6*VLOOKUP(A6,'Штатные должности'!$A:$C,3,FALSE))</f>
        <v>50000</v>
      </c>
      <c r="AC6" s="39">
        <f>IF(A6=0,0,W6*VLOOKUP(A6,'Штатные должности'!$A:$C,3,FALSE))</f>
        <v>100000</v>
      </c>
      <c r="AD6" s="39">
        <f t="shared" si="6"/>
        <v>-50000</v>
      </c>
    </row>
    <row r="7" spans="1:30" s="7" customFormat="1" ht="30.75" customHeight="1" x14ac:dyDescent="0.25">
      <c r="A7" s="100" t="s">
        <v>112</v>
      </c>
      <c r="B7" s="35" t="s">
        <v>37</v>
      </c>
      <c r="C7" s="36">
        <f>IF(A7=0,0,VLOOKUP(A7,'2Рабочее время'!$A$1:$K$100,7,FALSE)/365)</f>
        <v>7.6712328767123292E-2</v>
      </c>
      <c r="D7" s="35" t="s">
        <v>37</v>
      </c>
      <c r="E7" s="37">
        <f>IF(A7=0,0,VLOOKUP(A7,'2Рабочее время'!$A$1:$K$100,9,FALSE)/365)</f>
        <v>1.9178082191780823E-2</v>
      </c>
      <c r="F7" s="79" t="s">
        <v>37</v>
      </c>
      <c r="G7" s="80">
        <f>IF(A7=0,0,VLOOKUP(A7,'2Рабочее время'!$A$1:$K$100,8,FALSE)/365)</f>
        <v>3.8356164383561646E-2</v>
      </c>
      <c r="H7" s="81">
        <v>0.2</v>
      </c>
      <c r="I7" s="88">
        <f>IF(A7=0,0,VLOOKUP(A7,'2Рабочее время'!$A$1:$L$100,12,FALSE))</f>
        <v>4.0492387431162943E-2</v>
      </c>
      <c r="J7" s="82">
        <v>1</v>
      </c>
      <c r="K7" s="81">
        <f>IF(A7=0,0,J7/VLOOKUP(A7,'2Рабочее время'!$A:$L,4,FALSE))</f>
        <v>0.125</v>
      </c>
      <c r="L7" s="79"/>
      <c r="M7" s="79">
        <f t="shared" si="1"/>
        <v>1</v>
      </c>
      <c r="N7" s="81">
        <v>1</v>
      </c>
      <c r="O7" s="83">
        <f t="shared" si="2"/>
        <v>1</v>
      </c>
      <c r="P7" s="98">
        <f>VLOOKUP(A7,'Потери рабочего времени'!$A$1:$H$100,8,FALSE)/60</f>
        <v>0.96666666666666667</v>
      </c>
      <c r="Q7" s="99">
        <f>IF(A7=0,0,IF($P$2="+",(VLOOKUP(A7,'Потери рабочего времени'!$A$1:$H$30,8,FALSE))/60/VLOOKUP(A7,'2Рабочее время'!$A$1:$L$35,4),0))</f>
        <v>0</v>
      </c>
      <c r="R7" s="84"/>
      <c r="S7" s="13">
        <f>SUMIF('1Описание работ'!D:D,A7,'1Описание работ'!Y:Y)*(1+IF($I$2="+",I7,0)+IF($H$2="+",H7,0)+IF($J$2="+",K7,0)+Q7)*O7*M7</f>
        <v>368.13674765144151</v>
      </c>
      <c r="T7" s="15">
        <f t="shared" si="3"/>
        <v>0.13424657534246576</v>
      </c>
      <c r="U7" s="13">
        <f>IF(S7=0,0,S7/VLOOKUP(A7,'2Рабочее время'!$A$1:$L$100,10,FALSE))*(1+(IF(AND($D$2="+",D7="+"),E7,0))+(IF(AND($F$2="+",F7="+"),G7,0))+(IF(AND($B$2="+",B7="+"),C7,0)))</f>
        <v>2.236010372032565</v>
      </c>
      <c r="V7" s="14">
        <f t="shared" si="4"/>
        <v>2</v>
      </c>
      <c r="W7" s="14">
        <f>IF(A7=0,0,VLOOKUP(A7,'Штатные должности'!$A:$C,2,FALSE))</f>
        <v>2</v>
      </c>
      <c r="X7" s="14">
        <f t="shared" si="5"/>
        <v>0</v>
      </c>
      <c r="Y7" s="32">
        <f>IF(A7=0,0,S7/(W7*VLOOKUP(A7,'2Рабочее время'!$A:$L,10,FALSE)))</f>
        <v>1.1180051860162825</v>
      </c>
      <c r="Z7" s="32">
        <f>IF(S7&gt;0,(IF(A7=0,0,S7/(V7*VLOOKUP(A7,'2Рабочее время'!$A:$L,10,FALSE)))),0)</f>
        <v>1.1180051860162825</v>
      </c>
      <c r="AA7" s="39">
        <f>IF(A7=0,0,U7*VLOOKUP(A7,'Штатные должности'!$A:$C,3,FALSE))</f>
        <v>111800.51860162825</v>
      </c>
      <c r="AB7" s="39">
        <f>IF(A7=0,0,V7*VLOOKUP(A7,'Штатные должности'!$A:$C,3,FALSE))</f>
        <v>100000</v>
      </c>
      <c r="AC7" s="39">
        <f>IF(A7=0,0,W7*VLOOKUP(A7,'Штатные должности'!$A:$C,3,FALSE))</f>
        <v>100000</v>
      </c>
      <c r="AD7" s="39">
        <f t="shared" si="6"/>
        <v>0</v>
      </c>
    </row>
    <row r="8" spans="1:30" s="11" customFormat="1" ht="30.75" customHeight="1" x14ac:dyDescent="0.25">
      <c r="A8" s="100" t="s">
        <v>160</v>
      </c>
      <c r="B8" s="35" t="s">
        <v>37</v>
      </c>
      <c r="C8" s="36">
        <f>IF(A8=0,0,VLOOKUP(A8,'2Рабочее время'!$A$1:$K$100,7,FALSE)/365)</f>
        <v>7.6712328767123292E-2</v>
      </c>
      <c r="D8" s="35" t="s">
        <v>37</v>
      </c>
      <c r="E8" s="37">
        <f>IF(A8=0,0,VLOOKUP(A8,'2Рабочее время'!$A$1:$K$100,9,FALSE)/365)</f>
        <v>1.9178082191780823E-2</v>
      </c>
      <c r="F8" s="79" t="s">
        <v>37</v>
      </c>
      <c r="G8" s="80">
        <f>IF(A8=0,0,VLOOKUP(A8,'2Рабочее время'!$A$1:$K$100,8,FALSE)/365)</f>
        <v>3.8356164383561646E-2</v>
      </c>
      <c r="H8" s="81">
        <v>0.25</v>
      </c>
      <c r="I8" s="88">
        <f>IF(A8=0,0,VLOOKUP(A8,'2Рабочее время'!$A$1:$L$100,12,FALSE))</f>
        <v>4.0492387431162943E-2</v>
      </c>
      <c r="J8" s="82"/>
      <c r="K8" s="81">
        <f>IF(A8=0,0,J8/VLOOKUP(A8,'2Рабочее время'!$A:$L,4,FALSE))</f>
        <v>0</v>
      </c>
      <c r="L8" s="79"/>
      <c r="M8" s="79">
        <f t="shared" si="1"/>
        <v>1</v>
      </c>
      <c r="N8" s="81">
        <v>1</v>
      </c>
      <c r="O8" s="83">
        <f t="shared" si="2"/>
        <v>1</v>
      </c>
      <c r="P8" s="98">
        <f>VLOOKUP(A8,'Потери рабочего времени'!$A$1:$H$100,8,FALSE)/60</f>
        <v>0.8</v>
      </c>
      <c r="Q8" s="99">
        <f>IF(A8=0,0,IF($P$2="+",(VLOOKUP(A8,'Потери рабочего времени'!$A$1:$H$30,8,FALSE))/60/VLOOKUP(A8,'2Рабочее время'!$A$1:$L$35,4),0))</f>
        <v>0</v>
      </c>
      <c r="R8" s="85"/>
      <c r="S8" s="13">
        <f>SUMIF('1Описание работ'!D:D,A8,'1Описание работ'!Y:Y)*(1+IF($I$2="+",I8,0)+IF($H$2="+",H8,0)+IF($J$2="+",K8,0)+Q8)*O8*M8</f>
        <v>27.358438613540653</v>
      </c>
      <c r="T8" s="15">
        <f t="shared" si="3"/>
        <v>0.13424657534246576</v>
      </c>
      <c r="U8" s="13">
        <f>IF(S8=0,0,S8/VLOOKUP(A8,'2Рабочее время'!$A$1:$L$100,10,FALSE))*(1+(IF(AND($D$2="+",D8="+"),E8,0))+(IF(AND($F$2="+",F8="+"),G8,0))+(IF(AND($B$2="+",B8="+"),C8,0)))</f>
        <v>0.16617127437767648</v>
      </c>
      <c r="V8" s="14">
        <f t="shared" si="4"/>
        <v>1</v>
      </c>
      <c r="W8" s="14">
        <f>IF(A8=0,0,VLOOKUP(A8,'Штатные должности'!$A:$C,2,FALSE))</f>
        <v>1</v>
      </c>
      <c r="X8" s="14">
        <f t="shared" si="5"/>
        <v>0</v>
      </c>
      <c r="Y8" s="32">
        <f>IF(A8=0,0,S8/(W8*VLOOKUP(A8,'2Рабочее время'!$A:$L,10,FALSE)))</f>
        <v>0.16617127437767648</v>
      </c>
      <c r="Z8" s="32">
        <f>IF(S8&gt;0,(IF(A8=0,0,S8/(V8*VLOOKUP(A8,'2Рабочее время'!$A:$L,10,FALSE)))),0)</f>
        <v>0.16617127437767648</v>
      </c>
      <c r="AA8" s="39">
        <f>IF(A8=0,0,U8*VLOOKUP(A8,'Штатные должности'!$A:$C,3,FALSE))</f>
        <v>4985.1382313302947</v>
      </c>
      <c r="AB8" s="39">
        <f>IF(A8=0,0,V8*VLOOKUP(A8,'Штатные должности'!$A:$C,3,FALSE))</f>
        <v>30000</v>
      </c>
      <c r="AC8" s="39">
        <f>IF(A8=0,0,W8*VLOOKUP(A8,'Штатные должности'!$A:$C,3,FALSE))</f>
        <v>30000</v>
      </c>
      <c r="AD8" s="39">
        <f t="shared" si="6"/>
        <v>0</v>
      </c>
    </row>
    <row r="9" spans="1:30" s="10" customFormat="1" ht="30.75" customHeight="1" x14ac:dyDescent="0.25">
      <c r="A9" s="100"/>
      <c r="B9" s="35" t="s">
        <v>37</v>
      </c>
      <c r="C9" s="36">
        <f>IF(A9=0,0,VLOOKUP(A9,'2Рабочее время'!$A$1:$K$100,7,FALSE)/365)</f>
        <v>0</v>
      </c>
      <c r="D9" s="35" t="s">
        <v>37</v>
      </c>
      <c r="E9" s="37">
        <f>IF(A9=0,0,VLOOKUP(A9,'2Рабочее время'!$A$1:$K$100,9,FALSE)/365)</f>
        <v>0</v>
      </c>
      <c r="F9" s="79" t="s">
        <v>37</v>
      </c>
      <c r="G9" s="80">
        <f>IF(A9=0,0,VLOOKUP(A9,'2Рабочее время'!$A$1:$K$100,8,FALSE)/365)</f>
        <v>0</v>
      </c>
      <c r="H9" s="81">
        <f>IF(A9=0,0,IF((IF((VLOOKUP(A9,'1Описание работ'!$D:$Y,15,FALSE)&gt;0),VLOOKUP(A9,'1Описание работ'!$D:$Y,15,FALSE),0))&gt;0,0.0001,0))</f>
        <v>0</v>
      </c>
      <c r="I9" s="88">
        <f>IF(A9=0,0,VLOOKUP(A9,'2Рабочее время'!$A$1:$L$100,12,FALSE))</f>
        <v>0</v>
      </c>
      <c r="J9" s="82"/>
      <c r="K9" s="81">
        <f>IF(A9=0,0,J9/VLOOKUP(A9,'2Рабочее время'!$A:$L,4,FALSE))</f>
        <v>0</v>
      </c>
      <c r="L9" s="79"/>
      <c r="M9" s="79">
        <f t="shared" si="1"/>
        <v>1</v>
      </c>
      <c r="N9" s="81">
        <v>1</v>
      </c>
      <c r="O9" s="83">
        <f t="shared" si="2"/>
        <v>1</v>
      </c>
      <c r="P9" s="98">
        <f>VLOOKUP(A9,'Потери рабочего времени'!$A$1:$H$100,8,FALSE)/60</f>
        <v>0</v>
      </c>
      <c r="Q9" s="99">
        <f>IF(A9=0,0,IF($P$2="+",(VLOOKUP(A9,'Потери рабочего времени'!$A$1:$H$30,8,FALSE))/60/VLOOKUP(A9,'2Рабочее время'!$A$1:$L$35,4),0))</f>
        <v>0</v>
      </c>
      <c r="R9" s="86"/>
      <c r="S9" s="13">
        <f>SUMIF('1Описание работ'!D:D,A9,'1Описание работ'!Y:Y)*(1+IF($I$2="+",I9,0)+IF($H$2="+",H9,0)+IF($J$2="+",K9,0)+Q9)*O9*M9</f>
        <v>0</v>
      </c>
      <c r="T9" s="15">
        <f t="shared" si="3"/>
        <v>0</v>
      </c>
      <c r="U9" s="13">
        <f>IF(S9=0,0,S9/VLOOKUP(A9,'2Рабочее время'!$A$1:$L$100,10,FALSE))*(1+(IF(AND($D$2="+",D9="+"),E9,0))+(IF(AND($F$2="+",F9="+"),G9,0))+(IF(AND($B$2="+",B9="+"),C9,0)))</f>
        <v>0</v>
      </c>
      <c r="V9" s="14">
        <f t="shared" si="4"/>
        <v>0</v>
      </c>
      <c r="W9" s="14">
        <f>IF(A9=0,0,VLOOKUP(A9,'Штатные должности'!$A:$C,2,FALSE))</f>
        <v>0</v>
      </c>
      <c r="X9" s="14">
        <f t="shared" si="5"/>
        <v>0</v>
      </c>
      <c r="Y9" s="32">
        <f>IF(A9=0,0,S9/(W9*VLOOKUP(A9,'2Рабочее время'!$A:$L,10,FALSE)))</f>
        <v>0</v>
      </c>
      <c r="Z9" s="32">
        <f>IF(S9&gt;0,(IF(A9=0,0,S9/(V9*VLOOKUP(A9,'2Рабочее время'!$A:$L,10,FALSE)))),0)</f>
        <v>0</v>
      </c>
      <c r="AA9" s="39">
        <f>IF(A9=0,0,U9*VLOOKUP(A9,'Штатные должности'!$A:$C,3,FALSE))</f>
        <v>0</v>
      </c>
      <c r="AB9" s="39">
        <f>IF(A9=0,0,V9*VLOOKUP(A9,'Штатные должности'!$A:$C,3,FALSE))</f>
        <v>0</v>
      </c>
      <c r="AC9" s="39">
        <f>IF(A9=0,0,W9*VLOOKUP(A9,'Штатные должности'!$A:$C,3,FALSE))</f>
        <v>0</v>
      </c>
      <c r="AD9" s="39">
        <f t="shared" si="6"/>
        <v>0</v>
      </c>
    </row>
    <row r="10" spans="1:30" s="7" customFormat="1" ht="30.75" customHeight="1" x14ac:dyDescent="0.25">
      <c r="A10" s="100"/>
      <c r="B10" s="35" t="s">
        <v>37</v>
      </c>
      <c r="C10" s="36">
        <f>IF(A10=0,0,VLOOKUP(A10,'2Рабочее время'!$A$1:$K$100,7,FALSE)/365)</f>
        <v>0</v>
      </c>
      <c r="D10" s="35" t="s">
        <v>37</v>
      </c>
      <c r="E10" s="37">
        <f>IF(A10=0,0,VLOOKUP(A10,'2Рабочее время'!$A$1:$K$100,9,FALSE)/365)</f>
        <v>0</v>
      </c>
      <c r="F10" s="79" t="s">
        <v>37</v>
      </c>
      <c r="G10" s="80">
        <f>IF(A10=0,0,VLOOKUP(A10,'2Рабочее время'!$A$1:$K$100,8,FALSE)/365)</f>
        <v>0</v>
      </c>
      <c r="H10" s="81">
        <f>IF(A10=0,0,IF((IF((VLOOKUP(A10,'1Описание работ'!$D:$Y,15,FALSE)&gt;0),VLOOKUP(A10,'1Описание работ'!$D:$Y,15,FALSE),0))&gt;0,0.0001,0))</f>
        <v>0</v>
      </c>
      <c r="I10" s="88">
        <f>IF(A10=0,0,VLOOKUP(A10,'2Рабочее время'!$A$1:$L$100,12,FALSE))</f>
        <v>0</v>
      </c>
      <c r="J10" s="82"/>
      <c r="K10" s="81">
        <f>IF(A10=0,0,J10/VLOOKUP(A10,'2Рабочее время'!$A:$L,4,FALSE))</f>
        <v>0</v>
      </c>
      <c r="L10" s="79"/>
      <c r="M10" s="79">
        <f t="shared" si="1"/>
        <v>1</v>
      </c>
      <c r="N10" s="81">
        <v>1</v>
      </c>
      <c r="O10" s="83">
        <f t="shared" si="2"/>
        <v>1</v>
      </c>
      <c r="P10" s="98">
        <f>VLOOKUP(A10,'Потери рабочего времени'!$A$1:$H$100,8,FALSE)/60</f>
        <v>0</v>
      </c>
      <c r="Q10" s="99">
        <f>IF(A10=0,0,IF($P$2="+",(VLOOKUP(A10,'Потери рабочего времени'!$A$1:$H$30,8,FALSE))/60/VLOOKUP(A10,'2Рабочее время'!$A$1:$L$35,4),0))</f>
        <v>0</v>
      </c>
      <c r="R10" s="84"/>
      <c r="S10" s="13">
        <f>SUMIF('1Описание работ'!D:D,A10,'1Описание работ'!Y:Y)*(1+IF($I$2="+",I10,0)+IF($H$2="+",H10,0)+IF($J$2="+",K10,0)+Q10)*O10*M10</f>
        <v>0</v>
      </c>
      <c r="T10" s="15">
        <f t="shared" si="3"/>
        <v>0</v>
      </c>
      <c r="U10" s="13">
        <f>IF(S10=0,0,S10/VLOOKUP(A10,'2Рабочее время'!$A$1:$L$100,10,FALSE))*(1+(IF(AND($D$2="+",D10="+"),E10,0))+(IF(AND($F$2="+",F10="+"),G10,0))+(IF(AND($B$2="+",B10="+"),C10,0)))</f>
        <v>0</v>
      </c>
      <c r="V10" s="14">
        <f t="shared" si="4"/>
        <v>0</v>
      </c>
      <c r="W10" s="14">
        <f>IF(A10=0,0,VLOOKUP(A10,'Штатные должности'!$A:$C,2,FALSE))</f>
        <v>0</v>
      </c>
      <c r="X10" s="14">
        <f t="shared" si="5"/>
        <v>0</v>
      </c>
      <c r="Y10" s="32">
        <f>IF(A10=0,0,S10/(W10*VLOOKUP(A10,'2Рабочее время'!$A:$L,10,FALSE)))</f>
        <v>0</v>
      </c>
      <c r="Z10" s="32">
        <f>IF(S10&gt;0,(IF(A10=0,0,S10/(V10*VLOOKUP(A10,'2Рабочее время'!$A:$L,10,FALSE)))),0)</f>
        <v>0</v>
      </c>
      <c r="AA10" s="39">
        <f>IF(A10=0,0,U10*VLOOKUP(A10,'Штатные должности'!$A:$C,3,FALSE))</f>
        <v>0</v>
      </c>
      <c r="AB10" s="39">
        <f>IF(A10=0,0,V10*VLOOKUP(A10,'Штатные должности'!$A:$C,3,FALSE))</f>
        <v>0</v>
      </c>
      <c r="AC10" s="39">
        <f>IF(A10=0,0,W10*VLOOKUP(A10,'Штатные должности'!$A:$C,3,FALSE))</f>
        <v>0</v>
      </c>
      <c r="AD10" s="39">
        <f t="shared" si="6"/>
        <v>0</v>
      </c>
    </row>
    <row r="11" spans="1:30" s="11" customFormat="1" ht="30.75" customHeight="1" x14ac:dyDescent="0.25">
      <c r="A11" s="100"/>
      <c r="B11" s="35" t="s">
        <v>37</v>
      </c>
      <c r="C11" s="36">
        <f>IF(A11=0,0,VLOOKUP(A11,'2Рабочее время'!$A$1:$K$100,7,FALSE)/365)</f>
        <v>0</v>
      </c>
      <c r="D11" s="35" t="s">
        <v>37</v>
      </c>
      <c r="E11" s="37">
        <f>IF(A11=0,0,VLOOKUP(A11,'2Рабочее время'!$A$1:$K$100,9,FALSE)/365)</f>
        <v>0</v>
      </c>
      <c r="F11" s="79" t="s">
        <v>37</v>
      </c>
      <c r="G11" s="80">
        <f>IF(A11=0,0,VLOOKUP(A11,'2Рабочее время'!$A$1:$K$100,8,FALSE)/365)</f>
        <v>0</v>
      </c>
      <c r="H11" s="81">
        <f>IF(A11=0,0,IF((IF((VLOOKUP(A11,'1Описание работ'!$D:$Y,15,FALSE)&gt;0),VLOOKUP(A11,'1Описание работ'!$D:$Y,15,FALSE),0))&gt;0,0.0001,0))</f>
        <v>0</v>
      </c>
      <c r="I11" s="88">
        <f>IF(A11=0,0,VLOOKUP(A11,'2Рабочее время'!$A$1:$L$100,12,FALSE))</f>
        <v>0</v>
      </c>
      <c r="J11" s="82"/>
      <c r="K11" s="81">
        <f>IF(A11=0,0,J11/VLOOKUP(A11,'2Рабочее время'!$A:$L,4,FALSE))</f>
        <v>0</v>
      </c>
      <c r="L11" s="79"/>
      <c r="M11" s="79">
        <f t="shared" ref="M11:M28" si="7">IF(AND($L$2="+",L11&gt;0),L11,1)</f>
        <v>1</v>
      </c>
      <c r="N11" s="81">
        <v>1</v>
      </c>
      <c r="O11" s="83">
        <f t="shared" si="2"/>
        <v>1</v>
      </c>
      <c r="P11" s="98">
        <f>VLOOKUP(A11,'Потери рабочего времени'!$A$1:$H$100,8,FALSE)/60</f>
        <v>0</v>
      </c>
      <c r="Q11" s="99">
        <f>IF(A11=0,0,IF($P$2="+",(VLOOKUP(A11,'Потери рабочего времени'!$A$1:$H$30,8,FALSE))/60/VLOOKUP(A11,'2Рабочее время'!$A$1:$L$35,4),0))</f>
        <v>0</v>
      </c>
      <c r="R11" s="84"/>
      <c r="S11" s="13">
        <f>SUMIF('1Описание работ'!D:D,A11,'1Описание работ'!Y:Y)*(1+IF($I$2="+",I11,0)+IF($H$2="+",H11,0)+IF($J$2="+",K11,0)+Q11)*O11*M11</f>
        <v>0</v>
      </c>
      <c r="T11" s="15">
        <f t="shared" si="3"/>
        <v>0</v>
      </c>
      <c r="U11" s="13">
        <f>IF(S11=0,0,S11/VLOOKUP(A11,'2Рабочее время'!$A$1:$L$100,10,FALSE))*(1+(IF(AND($D$2="+",D11="+"),E11,0))+(IF(AND($F$2="+",F11="+"),G11,0))+(IF(AND($B$2="+",B11="+"),C11,0)))</f>
        <v>0</v>
      </c>
      <c r="V11" s="14">
        <f t="shared" ref="V11:V35" si="8">(IF(U11=0,0,IF(U11=0,0,IF((U11-INT(U11))/U11&lt;15%,ROUNDDOWN(U11,0),ROUNDUP(U11,0)))))</f>
        <v>0</v>
      </c>
      <c r="W11" s="14">
        <f>IF(A11=0,0,VLOOKUP(A11,'Штатные должности'!$A:$C,2,FALSE))</f>
        <v>0</v>
      </c>
      <c r="X11" s="14">
        <f t="shared" ref="X11:X35" si="9">IF(V11=0,0,V11-W11)</f>
        <v>0</v>
      </c>
      <c r="Y11" s="32">
        <f>IF(A11=0,0,S11/(W11*VLOOKUP(A11,'2Рабочее время'!$A:$L,10,FALSE)))</f>
        <v>0</v>
      </c>
      <c r="Z11" s="32">
        <f>IF(S11&gt;0,(IF(A11=0,0,S11/(V11*VLOOKUP(A11,'2Рабочее время'!$A:$L,10,FALSE)))),0)</f>
        <v>0</v>
      </c>
      <c r="AA11" s="39">
        <f>IF(A11=0,0,U11*VLOOKUP(A11,'Штатные должности'!$A:$C,3,FALSE))</f>
        <v>0</v>
      </c>
      <c r="AB11" s="39">
        <f>IF(A11=0,0,V11*VLOOKUP(A11,'Штатные должности'!$A:$C,3,FALSE))</f>
        <v>0</v>
      </c>
      <c r="AC11" s="39">
        <f>IF(A11=0,0,W11*VLOOKUP(A11,'Штатные должности'!$A:$C,3,FALSE))</f>
        <v>0</v>
      </c>
      <c r="AD11" s="39">
        <f t="shared" ref="AD11:AD28" si="10">AB11-AC11</f>
        <v>0</v>
      </c>
    </row>
    <row r="12" spans="1:30" s="10" customFormat="1" ht="30.75" customHeight="1" x14ac:dyDescent="0.25">
      <c r="A12" s="100"/>
      <c r="B12" s="35" t="s">
        <v>37</v>
      </c>
      <c r="C12" s="36">
        <f>IF(A12=0,0,VLOOKUP(A12,'2Рабочее время'!$A$1:$K$100,7,FALSE)/365)</f>
        <v>0</v>
      </c>
      <c r="D12" s="35" t="s">
        <v>37</v>
      </c>
      <c r="E12" s="37">
        <f>IF(A12=0,0,VLOOKUP(A12,'2Рабочее время'!$A$1:$K$100,9,FALSE)/365)</f>
        <v>0</v>
      </c>
      <c r="F12" s="79" t="s">
        <v>37</v>
      </c>
      <c r="G12" s="80">
        <f>IF(A12=0,0,VLOOKUP(A12,'2Рабочее время'!$A$1:$K$100,8,FALSE)/365)</f>
        <v>0</v>
      </c>
      <c r="H12" s="81">
        <f>IF(A12=0,0,IF((IF((VLOOKUP(A12,'1Описание работ'!$D:$Y,15,FALSE)&gt;0),VLOOKUP(A12,'1Описание работ'!$D:$Y,15,FALSE),0))&gt;0,0.0001,0))</f>
        <v>0</v>
      </c>
      <c r="I12" s="88">
        <f>IF(A12=0,0,VLOOKUP(A12,'2Рабочее время'!$A$1:$L$100,12,FALSE))</f>
        <v>0</v>
      </c>
      <c r="J12" s="82"/>
      <c r="K12" s="81">
        <f>IF(A12=0,0,J12/VLOOKUP(A12,'2Рабочее время'!$A:$L,4,FALSE))</f>
        <v>0</v>
      </c>
      <c r="L12" s="79"/>
      <c r="M12" s="79">
        <f t="shared" si="7"/>
        <v>1</v>
      </c>
      <c r="N12" s="81">
        <v>1</v>
      </c>
      <c r="O12" s="83">
        <f t="shared" si="2"/>
        <v>1</v>
      </c>
      <c r="P12" s="98">
        <f>VLOOKUP(A12,'Потери рабочего времени'!$A$1:$H$100,8,FALSE)/60</f>
        <v>0</v>
      </c>
      <c r="Q12" s="99">
        <f>IF(A12=0,0,IF($P$2="+",(VLOOKUP(A12,'Потери рабочего времени'!$A$1:$H$30,8,FALSE))/60/VLOOKUP(A12,'2Рабочее время'!$A$1:$L$35,4),0))</f>
        <v>0</v>
      </c>
      <c r="R12" s="84"/>
      <c r="S12" s="13">
        <f>SUMIF('1Описание работ'!D:D,A12,'1Описание работ'!Y:Y)*(1+IF($I$2="+",I12,0)+IF($H$2="+",H12,0)+IF($J$2="+",K12,0)+Q12)*O12*M12</f>
        <v>0</v>
      </c>
      <c r="T12" s="15">
        <f t="shared" si="3"/>
        <v>0</v>
      </c>
      <c r="U12" s="13">
        <f>IF(S12=0,0,S12/VLOOKUP(A12,'2Рабочее время'!$A$1:$L$100,10,FALSE))*(1+(IF(AND($D$2="+",D12="+"),E12,0))+(IF(AND($F$2="+",F12="+"),G12,0))+(IF(AND($B$2="+",B12="+"),C12,0)))</f>
        <v>0</v>
      </c>
      <c r="V12" s="14">
        <f t="shared" si="8"/>
        <v>0</v>
      </c>
      <c r="W12" s="14">
        <f>IF(A12=0,0,VLOOKUP(A12,'Штатные должности'!$A:$C,2,FALSE))</f>
        <v>0</v>
      </c>
      <c r="X12" s="14">
        <f t="shared" si="9"/>
        <v>0</v>
      </c>
      <c r="Y12" s="32">
        <f>IF(A12=0,0,S12/(W12*VLOOKUP(A12,'2Рабочее время'!$A:$L,10,FALSE)))</f>
        <v>0</v>
      </c>
      <c r="Z12" s="32">
        <f>IF(S12&gt;0,(IF(A12=0,0,S12/(V12*VLOOKUP(A12,'2Рабочее время'!$A:$L,10,FALSE)))),0)</f>
        <v>0</v>
      </c>
      <c r="AA12" s="39">
        <f>IF(A12=0,0,U12*VLOOKUP(A12,'Штатные должности'!$A:$C,3,FALSE))</f>
        <v>0</v>
      </c>
      <c r="AB12" s="39">
        <f>IF(A12=0,0,V12*VLOOKUP(A12,'Штатные должности'!$A:$C,3,FALSE))</f>
        <v>0</v>
      </c>
      <c r="AC12" s="39">
        <f>IF(A12=0,0,W12*VLOOKUP(A12,'Штатные должности'!$A:$C,3,FALSE))</f>
        <v>0</v>
      </c>
      <c r="AD12" s="39">
        <f t="shared" si="10"/>
        <v>0</v>
      </c>
    </row>
    <row r="13" spans="1:30" s="7" customFormat="1" ht="30.75" customHeight="1" x14ac:dyDescent="0.25">
      <c r="A13" s="100">
        <f>'Штатные должности'!A10</f>
        <v>0</v>
      </c>
      <c r="B13" s="35" t="s">
        <v>37</v>
      </c>
      <c r="C13" s="36">
        <f>IF(A13=0,0,VLOOKUP(A13,'2Рабочее время'!$A$1:$K$100,7,FALSE)/365)</f>
        <v>0</v>
      </c>
      <c r="D13" s="35" t="s">
        <v>37</v>
      </c>
      <c r="E13" s="37">
        <f>IF(A13=0,0,VLOOKUP(A13,'2Рабочее время'!$A$1:$K$100,9,FALSE)/365)</f>
        <v>0</v>
      </c>
      <c r="F13" s="79" t="s">
        <v>37</v>
      </c>
      <c r="G13" s="80">
        <f>IF(A13=0,0,VLOOKUP(A13,'2Рабочее время'!$A$1:$K$100,8,FALSE)/365)</f>
        <v>0</v>
      </c>
      <c r="H13" s="81">
        <f>IF(A13=0,0,IF((IF((VLOOKUP(A13,'1Описание работ'!$D:$Y,15,FALSE)&gt;0),VLOOKUP(A13,'1Описание работ'!$D:$Y,15,FALSE),0))&gt;0,0.0001,0))</f>
        <v>0</v>
      </c>
      <c r="I13" s="88">
        <f>IF(A13=0,0,VLOOKUP(A13,'2Рабочее время'!$A$1:$L$100,12,FALSE))</f>
        <v>0</v>
      </c>
      <c r="J13" s="82"/>
      <c r="K13" s="81">
        <f>IF(A13=0,0,J13/VLOOKUP(A13,'2Рабочее время'!$A:$L,4,FALSE))</f>
        <v>0</v>
      </c>
      <c r="L13" s="79"/>
      <c r="M13" s="79">
        <f t="shared" si="7"/>
        <v>1</v>
      </c>
      <c r="N13" s="81">
        <v>1</v>
      </c>
      <c r="O13" s="83">
        <f t="shared" si="2"/>
        <v>1</v>
      </c>
      <c r="P13" s="98">
        <f>VLOOKUP(A13,'Потери рабочего времени'!$A$1:$H$100,8,FALSE)/60</f>
        <v>0</v>
      </c>
      <c r="Q13" s="99">
        <f>IF(A13=0,0,IF($P$2="+",(VLOOKUP(A13,'Потери рабочего времени'!$A$1:$H$30,8,FALSE))/60/VLOOKUP(A13,'2Рабочее время'!$A$1:$L$35,4),0))</f>
        <v>0</v>
      </c>
      <c r="R13" s="84"/>
      <c r="S13" s="13">
        <f>SUMIF('1Описание работ'!D:D,A13,'1Описание работ'!Y:Y)*(1+IF($I$2="+",I13,0)+IF($H$2="+",H13,0)+IF($J$2="+",K13,0)+Q13)*O13*M13</f>
        <v>0</v>
      </c>
      <c r="T13" s="15">
        <f t="shared" si="3"/>
        <v>0</v>
      </c>
      <c r="U13" s="13">
        <f>IF(S13=0,0,S13/VLOOKUP(A13,'2Рабочее время'!$A$1:$L$100,10,FALSE))*(1+(IF(AND($D$2="+",D13="+"),E13,0))+(IF(AND($F$2="+",F13="+"),G13,0))+(IF(AND($B$2="+",B13="+"),C13,0)))</f>
        <v>0</v>
      </c>
      <c r="V13" s="14">
        <f t="shared" si="8"/>
        <v>0</v>
      </c>
      <c r="W13" s="14">
        <f>IF(A13=0,0,VLOOKUP(A13,'Штатные должности'!$A:$C,2,FALSE))</f>
        <v>0</v>
      </c>
      <c r="X13" s="14">
        <f t="shared" si="9"/>
        <v>0</v>
      </c>
      <c r="Y13" s="32">
        <f>IF(A13=0,0,S13/(W13*VLOOKUP(A13,'2Рабочее время'!$A:$L,10,FALSE)))</f>
        <v>0</v>
      </c>
      <c r="Z13" s="32">
        <f>IF(S13&gt;0,(IF(A13=0,0,S13/(V13*VLOOKUP(A13,'2Рабочее время'!$A:$L,10,FALSE)))),0)</f>
        <v>0</v>
      </c>
      <c r="AA13" s="39">
        <f>IF(A13=0,0,U13*VLOOKUP(A13,'Штатные должности'!$A:$C,3,FALSE))</f>
        <v>0</v>
      </c>
      <c r="AB13" s="39">
        <f>IF(A13=0,0,V13*VLOOKUP(A13,'Штатные должности'!$A:$C,3,FALSE))</f>
        <v>0</v>
      </c>
      <c r="AC13" s="39">
        <f>IF(A13=0,0,W13*VLOOKUP(A13,'Штатные должности'!$A:$C,3,FALSE))</f>
        <v>0</v>
      </c>
      <c r="AD13" s="39">
        <f t="shared" si="10"/>
        <v>0</v>
      </c>
    </row>
    <row r="14" spans="1:30" s="11" customFormat="1" ht="30.75" customHeight="1" x14ac:dyDescent="0.25">
      <c r="A14" s="100">
        <f>'Штатные должности'!A11</f>
        <v>0</v>
      </c>
      <c r="B14" s="35" t="s">
        <v>37</v>
      </c>
      <c r="C14" s="36">
        <f>IF(A14=0,0,VLOOKUP(A14,'2Рабочее время'!$A$1:$K$100,7,FALSE)/365)</f>
        <v>0</v>
      </c>
      <c r="D14" s="35" t="s">
        <v>37</v>
      </c>
      <c r="E14" s="37">
        <f>IF(A14=0,0,VLOOKUP(A14,'2Рабочее время'!$A$1:$K$100,9,FALSE)/365)</f>
        <v>0</v>
      </c>
      <c r="F14" s="79" t="s">
        <v>37</v>
      </c>
      <c r="G14" s="80">
        <f>IF(A14=0,0,VLOOKUP(A14,'2Рабочее время'!$A$1:$K$100,8,FALSE)/365)</f>
        <v>0</v>
      </c>
      <c r="H14" s="81">
        <f>IF(A14=0,0,IF((IF((VLOOKUP(A14,'1Описание работ'!$D:$Y,15,FALSE)&gt;0),VLOOKUP(A14,'1Описание работ'!$D:$Y,15,FALSE),0))&gt;0,0.0001,0))</f>
        <v>0</v>
      </c>
      <c r="I14" s="88">
        <f>IF(A14=0,0,VLOOKUP(A14,'2Рабочее время'!$A$1:$L$100,12,FALSE))</f>
        <v>0</v>
      </c>
      <c r="J14" s="82"/>
      <c r="K14" s="81">
        <f>IF(A14=0,0,J14/VLOOKUP(A14,'2Рабочее время'!$A:$L,4,FALSE))</f>
        <v>0</v>
      </c>
      <c r="L14" s="79"/>
      <c r="M14" s="79">
        <f t="shared" si="7"/>
        <v>1</v>
      </c>
      <c r="N14" s="81">
        <v>1</v>
      </c>
      <c r="O14" s="83">
        <f t="shared" si="2"/>
        <v>1</v>
      </c>
      <c r="P14" s="98">
        <f>VLOOKUP(A14,'Потери рабочего времени'!$A$1:$H$100,8,FALSE)/60</f>
        <v>0</v>
      </c>
      <c r="Q14" s="99">
        <f>IF(A14=0,0,IF($P$2="+",(VLOOKUP(A14,'Потери рабочего времени'!$A$1:$H$30,8,FALSE))/60/VLOOKUP(A14,'2Рабочее время'!$A$1:$L$35,4),0))</f>
        <v>0</v>
      </c>
      <c r="R14" s="84"/>
      <c r="S14" s="13">
        <f>SUMIF('1Описание работ'!D:D,A14,'1Описание работ'!Y:Y)*(1+IF($I$2="+",I14,0)+IF($H$2="+",H14,0)+IF($J$2="+",K14,0)+Q14)*O14*M14</f>
        <v>0</v>
      </c>
      <c r="T14" s="15">
        <f t="shared" si="3"/>
        <v>0</v>
      </c>
      <c r="U14" s="13">
        <f>IF(S14=0,0,S14/VLOOKUP(A14,'2Рабочее время'!$A$1:$L$100,10,FALSE))*(1+(IF(AND($D$2="+",D14="+"),E14,0))+(IF(AND($F$2="+",F14="+"),G14,0))+(IF(AND($B$2="+",B14="+"),C14,0)))</f>
        <v>0</v>
      </c>
      <c r="V14" s="14">
        <f t="shared" si="8"/>
        <v>0</v>
      </c>
      <c r="W14" s="14">
        <f>IF(A14=0,0,VLOOKUP(A14,'Штатные должности'!$A:$C,2,FALSE))</f>
        <v>0</v>
      </c>
      <c r="X14" s="14">
        <f t="shared" si="9"/>
        <v>0</v>
      </c>
      <c r="Y14" s="32">
        <f>IF(A14=0,0,S14/(W14*VLOOKUP(A14,'2Рабочее время'!$A:$L,10,FALSE)))</f>
        <v>0</v>
      </c>
      <c r="Z14" s="32">
        <f>IF(S14&gt;0,(IF(A14=0,0,S14/(V14*VLOOKUP(A14,'2Рабочее время'!$A:$L,10,FALSE)))),0)</f>
        <v>0</v>
      </c>
      <c r="AA14" s="39">
        <f>IF(A14=0,0,U14*VLOOKUP(A14,'Штатные должности'!$A:$C,3,FALSE))</f>
        <v>0</v>
      </c>
      <c r="AB14" s="39">
        <f>IF(A14=0,0,V14*VLOOKUP(A14,'Штатные должности'!$A:$C,3,FALSE))</f>
        <v>0</v>
      </c>
      <c r="AC14" s="39">
        <f>IF(A14=0,0,W14*VLOOKUP(A14,'Штатные должности'!$A:$C,3,FALSE))</f>
        <v>0</v>
      </c>
      <c r="AD14" s="39">
        <f t="shared" si="10"/>
        <v>0</v>
      </c>
    </row>
    <row r="15" spans="1:30" s="10" customFormat="1" ht="30.75" customHeight="1" x14ac:dyDescent="0.25">
      <c r="A15" s="100">
        <f>'Штатные должности'!A12</f>
        <v>0</v>
      </c>
      <c r="B15" s="35" t="s">
        <v>37</v>
      </c>
      <c r="C15" s="36">
        <f>IF(A15=0,0,VLOOKUP(A15,'2Рабочее время'!$A$1:$K$100,7,FALSE)/365)</f>
        <v>0</v>
      </c>
      <c r="D15" s="35" t="s">
        <v>37</v>
      </c>
      <c r="E15" s="37">
        <f>IF(A15=0,0,VLOOKUP(A15,'2Рабочее время'!$A$1:$K$100,9,FALSE)/365)</f>
        <v>0</v>
      </c>
      <c r="F15" s="79" t="s">
        <v>37</v>
      </c>
      <c r="G15" s="80">
        <f>IF(A15=0,0,VLOOKUP(A15,'2Рабочее время'!$A$1:$K$100,8,FALSE)/365)</f>
        <v>0</v>
      </c>
      <c r="H15" s="81">
        <f>IF(A15=0,0,IF((IF((VLOOKUP(A15,'1Описание работ'!$D:$Y,15,FALSE)&gt;0),VLOOKUP(A15,'1Описание работ'!$D:$Y,15,FALSE),0))&gt;0,0.0001,0))</f>
        <v>0</v>
      </c>
      <c r="I15" s="88">
        <f>IF(A15=0,0,VLOOKUP(A15,'2Рабочее время'!$A$1:$L$100,12,FALSE))</f>
        <v>0</v>
      </c>
      <c r="J15" s="82"/>
      <c r="K15" s="81">
        <f>IF(A15=0,0,J15/VLOOKUP(A15,'2Рабочее время'!$A:$L,4,FALSE))</f>
        <v>0</v>
      </c>
      <c r="L15" s="79"/>
      <c r="M15" s="79">
        <f t="shared" si="7"/>
        <v>1</v>
      </c>
      <c r="N15" s="81">
        <v>1</v>
      </c>
      <c r="O15" s="83">
        <f t="shared" si="2"/>
        <v>1</v>
      </c>
      <c r="P15" s="98">
        <f>VLOOKUP(A15,'Потери рабочего времени'!$A$1:$H$100,8,FALSE)/60</f>
        <v>0</v>
      </c>
      <c r="Q15" s="99">
        <f>IF(A15=0,0,IF($P$2="+",(VLOOKUP(A15,'Потери рабочего времени'!$A$1:$H$30,8,FALSE))/60/VLOOKUP(A15,'2Рабочее время'!$A$1:$L$35,4),0))</f>
        <v>0</v>
      </c>
      <c r="R15" s="84"/>
      <c r="S15" s="13">
        <f>SUMIF('1Описание работ'!D:D,A15,'1Описание работ'!Y:Y)*(1+IF($I$2="+",I15,0)+IF($H$2="+",H15,0)+IF($J$2="+",K15,0)+Q15)*O15*M15</f>
        <v>0</v>
      </c>
      <c r="T15" s="15">
        <f t="shared" si="3"/>
        <v>0</v>
      </c>
      <c r="U15" s="13">
        <f>IF(S15=0,0,S15/VLOOKUP(A15,'2Рабочее время'!$A$1:$L$100,10,FALSE))*(1+(IF(AND($D$2="+",D15="+"),E15,0))+(IF(AND($F$2="+",F15="+"),G15,0))+(IF(AND($B$2="+",B15="+"),C15,0)))</f>
        <v>0</v>
      </c>
      <c r="V15" s="14">
        <f t="shared" si="8"/>
        <v>0</v>
      </c>
      <c r="W15" s="14">
        <f>IF(A15=0,0,VLOOKUP(A15,'Штатные должности'!$A:$C,2,FALSE))</f>
        <v>0</v>
      </c>
      <c r="X15" s="14">
        <f t="shared" si="9"/>
        <v>0</v>
      </c>
      <c r="Y15" s="32">
        <f>IF(A15=0,0,S15/(W15*VLOOKUP(A15,'2Рабочее время'!$A:$L,10,FALSE)))</f>
        <v>0</v>
      </c>
      <c r="Z15" s="32">
        <f>IF(S15&gt;0,(IF(A15=0,0,S15/(V15*VLOOKUP(A15,'2Рабочее время'!$A:$L,10,FALSE)))),0)</f>
        <v>0</v>
      </c>
      <c r="AA15" s="39">
        <f>IF(A15=0,0,U15*VLOOKUP(A15,'Штатные должности'!$A:$C,3,FALSE))</f>
        <v>0</v>
      </c>
      <c r="AB15" s="39">
        <f>IF(A15=0,0,V15*VLOOKUP(A15,'Штатные должности'!$A:$C,3,FALSE))</f>
        <v>0</v>
      </c>
      <c r="AC15" s="39">
        <f>IF(A15=0,0,W15*VLOOKUP(A15,'Штатные должности'!$A:$C,3,FALSE))</f>
        <v>0</v>
      </c>
      <c r="AD15" s="39">
        <f t="shared" si="10"/>
        <v>0</v>
      </c>
    </row>
    <row r="16" spans="1:30" s="11" customFormat="1" ht="30.75" customHeight="1" x14ac:dyDescent="0.25">
      <c r="A16" s="100"/>
      <c r="B16" s="35" t="s">
        <v>37</v>
      </c>
      <c r="C16" s="36">
        <f>IF(A16=0,0,VLOOKUP(A16,'2Рабочее время'!$A$1:$K$100,7,FALSE)/365)</f>
        <v>0</v>
      </c>
      <c r="D16" s="35" t="s">
        <v>37</v>
      </c>
      <c r="E16" s="37">
        <f>IF(A16=0,0,VLOOKUP(A16,'2Рабочее время'!$A$1:$K$100,9,FALSE)/365)</f>
        <v>0</v>
      </c>
      <c r="F16" s="79" t="s">
        <v>37</v>
      </c>
      <c r="G16" s="80">
        <f>IF(A16=0,0,VLOOKUP(A16,'2Рабочее время'!$A$1:$K$100,8,FALSE)/365)</f>
        <v>0</v>
      </c>
      <c r="H16" s="81">
        <f>IF(A16=0,0,IF((IF((VLOOKUP(A16,'1Описание работ'!$D:$Y,15,FALSE)&gt;0),VLOOKUP(A16,'1Описание работ'!$D:$Y,15,FALSE),0))&gt;0,0.0001,0))</f>
        <v>0</v>
      </c>
      <c r="I16" s="88">
        <f>IF(A16=0,0,VLOOKUP(A16,'2Рабочее время'!$A$1:$L$100,12,FALSE))</f>
        <v>0</v>
      </c>
      <c r="J16" s="82"/>
      <c r="K16" s="81">
        <f>IF(A16=0,0,J16/VLOOKUP(A16,'2Рабочее время'!$A:$L,4,FALSE))</f>
        <v>0</v>
      </c>
      <c r="L16" s="79"/>
      <c r="M16" s="79">
        <f t="shared" si="7"/>
        <v>1</v>
      </c>
      <c r="N16" s="81">
        <v>1</v>
      </c>
      <c r="O16" s="83">
        <f t="shared" si="2"/>
        <v>1</v>
      </c>
      <c r="P16" s="98">
        <f>VLOOKUP(A16,'Потери рабочего времени'!$A$1:$H$100,8,FALSE)/60</f>
        <v>0</v>
      </c>
      <c r="Q16" s="99">
        <f>IF(A16=0,0,IF($P$2="+",(VLOOKUP(A16,'Потери рабочего времени'!$A$1:$H$30,8,FALSE))/60/VLOOKUP(A16,'2Рабочее время'!$A$1:$L$35,4),0))</f>
        <v>0</v>
      </c>
      <c r="R16" s="84"/>
      <c r="S16" s="13">
        <f>SUMIF('1Описание работ'!D:D,A16,'1Описание работ'!Y:Y)*(1+IF($I$2="+",I16,0)+IF($H$2="+",H16,0)+IF($J$2="+",K16,0)+Q16)*O16*M16</f>
        <v>0</v>
      </c>
      <c r="T16" s="15">
        <f t="shared" si="3"/>
        <v>0</v>
      </c>
      <c r="U16" s="13">
        <f>IF(S16=0,0,S16/VLOOKUP(A16,'2Рабочее время'!$A$1:$L$100,10,FALSE))*(1+(IF(AND($D$2="+",D16="+"),E16,0))+(IF(AND($F$2="+",F16="+"),G16,0))+(IF(AND($B$2="+",B16="+"),C16,0)))</f>
        <v>0</v>
      </c>
      <c r="V16" s="14">
        <f t="shared" si="8"/>
        <v>0</v>
      </c>
      <c r="W16" s="14">
        <f>IF(A16=0,0,VLOOKUP(A16,'Штатные должности'!$A:$C,2,FALSE))</f>
        <v>0</v>
      </c>
      <c r="X16" s="14">
        <f t="shared" si="9"/>
        <v>0</v>
      </c>
      <c r="Y16" s="32">
        <f>IF(A16=0,0,S16/(W16*VLOOKUP(A16,'2Рабочее время'!$A:$L,10,FALSE)))</f>
        <v>0</v>
      </c>
      <c r="Z16" s="32">
        <f>IF(S16&gt;0,(IF(A16=0,0,S16/(V16*VLOOKUP(A16,'2Рабочее время'!$A:$L,10,FALSE)))),0)</f>
        <v>0</v>
      </c>
      <c r="AA16" s="39">
        <f>IF(A16=0,0,U16*VLOOKUP(A16,'Штатные должности'!$A:$C,3,FALSE))</f>
        <v>0</v>
      </c>
      <c r="AB16" s="39">
        <f>IF(A16=0,0,V16*VLOOKUP(A16,'Штатные должности'!$A:$C,3,FALSE))</f>
        <v>0</v>
      </c>
      <c r="AC16" s="39">
        <f>IF(A16=0,0,W16*VLOOKUP(A16,'Штатные должности'!$A:$C,3,FALSE))</f>
        <v>0</v>
      </c>
      <c r="AD16" s="39">
        <f t="shared" si="10"/>
        <v>0</v>
      </c>
    </row>
    <row r="17" spans="1:30" s="10" customFormat="1" ht="30.75" customHeight="1" x14ac:dyDescent="0.25">
      <c r="A17" s="100">
        <f>'Штатные должности'!A14</f>
        <v>0</v>
      </c>
      <c r="B17" s="35" t="s">
        <v>37</v>
      </c>
      <c r="C17" s="36">
        <f>IF(A17=0,0,VLOOKUP(A17,'2Рабочее время'!$A$1:$K$100,7,FALSE)/365)</f>
        <v>0</v>
      </c>
      <c r="D17" s="35" t="s">
        <v>37</v>
      </c>
      <c r="E17" s="37">
        <f>IF(A17=0,0,VLOOKUP(A17,'2Рабочее время'!$A$1:$K$100,9,FALSE)/365)</f>
        <v>0</v>
      </c>
      <c r="F17" s="79" t="s">
        <v>37</v>
      </c>
      <c r="G17" s="80">
        <f>IF(A17=0,0,VLOOKUP(A17,'2Рабочее время'!$A$1:$K$100,8,FALSE)/365)</f>
        <v>0</v>
      </c>
      <c r="H17" s="81">
        <f>IF(A17=0,0,IF((IF((VLOOKUP(A17,'1Описание работ'!$D:$Y,15,FALSE)&gt;0),VLOOKUP(A17,'1Описание работ'!$D:$Y,15,FALSE),0))&gt;0,0.0001,0))</f>
        <v>0</v>
      </c>
      <c r="I17" s="88">
        <f>IF(A17=0,0,VLOOKUP(A17,'2Рабочее время'!$A$1:$L$100,12,FALSE))</f>
        <v>0</v>
      </c>
      <c r="J17" s="82"/>
      <c r="K17" s="81">
        <f>IF(A17=0,0,J17/VLOOKUP(A17,'2Рабочее время'!$A:$L,4,FALSE))</f>
        <v>0</v>
      </c>
      <c r="L17" s="79"/>
      <c r="M17" s="79">
        <f t="shared" si="7"/>
        <v>1</v>
      </c>
      <c r="N17" s="81">
        <v>1</v>
      </c>
      <c r="O17" s="83">
        <f t="shared" si="2"/>
        <v>1</v>
      </c>
      <c r="P17" s="98">
        <f>VLOOKUP(A17,'Потери рабочего времени'!$A$1:$H$100,8,FALSE)/60</f>
        <v>0</v>
      </c>
      <c r="Q17" s="99">
        <f>IF(A17=0,0,IF($P$2="+",(VLOOKUP(A17,'Потери рабочего времени'!$A$1:$H$30,8,FALSE))/60/VLOOKUP(A17,'2Рабочее время'!$A$1:$L$35,4),0))</f>
        <v>0</v>
      </c>
      <c r="R17" s="84"/>
      <c r="S17" s="13">
        <f>SUMIF('1Описание работ'!D:D,A17,'1Описание работ'!Y:Y)*(1+IF($I$2="+",I17,0)+IF($H$2="+",H17,0)+IF($J$2="+",K17,0)+Q17)*O17*M17</f>
        <v>0</v>
      </c>
      <c r="T17" s="15">
        <f t="shared" si="3"/>
        <v>0</v>
      </c>
      <c r="U17" s="13">
        <f>IF(S17=0,0,S17/VLOOKUP(A17,'2Рабочее время'!$A$1:$L$100,10,FALSE))*(1+(IF(AND($D$2="+",D17="+"),E17,0))+(IF(AND($F$2="+",F17="+"),G17,0))+(IF(AND($B$2="+",B17="+"),C17,0)))</f>
        <v>0</v>
      </c>
      <c r="V17" s="14">
        <f t="shared" si="8"/>
        <v>0</v>
      </c>
      <c r="W17" s="14">
        <f>IF(A17=0,0,VLOOKUP(A17,'Штатные должности'!$A:$C,2,FALSE))</f>
        <v>0</v>
      </c>
      <c r="X17" s="14">
        <f t="shared" si="9"/>
        <v>0</v>
      </c>
      <c r="Y17" s="32">
        <f>IF(A17=0,0,S17/(W17*VLOOKUP(A17,'2Рабочее время'!$A:$L,10,FALSE)))</f>
        <v>0</v>
      </c>
      <c r="Z17" s="32">
        <f>IF(S17&gt;0,(IF(A17=0,0,S17/(V17*VLOOKUP(A17,'2Рабочее время'!$A:$L,10,FALSE)))),0)</f>
        <v>0</v>
      </c>
      <c r="AA17" s="39">
        <f>IF(A17=0,0,U17*VLOOKUP(A17,'Штатные должности'!$A:$C,3,FALSE))</f>
        <v>0</v>
      </c>
      <c r="AB17" s="39">
        <f>IF(A17=0,0,V17*VLOOKUP(A17,'Штатные должности'!$A:$C,3,FALSE))</f>
        <v>0</v>
      </c>
      <c r="AC17" s="39">
        <f>IF(A17=0,0,W17*VLOOKUP(A17,'Штатные должности'!$A:$C,3,FALSE))</f>
        <v>0</v>
      </c>
      <c r="AD17" s="39">
        <f t="shared" si="10"/>
        <v>0</v>
      </c>
    </row>
    <row r="18" spans="1:30" s="7" customFormat="1" ht="30.75" customHeight="1" x14ac:dyDescent="0.25">
      <c r="A18" s="100">
        <f>'Штатные должности'!A15</f>
        <v>0</v>
      </c>
      <c r="B18" s="35" t="s">
        <v>37</v>
      </c>
      <c r="C18" s="36">
        <f>IF(A18=0,0,VLOOKUP(A18,'2Рабочее время'!$A$1:$K$100,7,FALSE)/365)</f>
        <v>0</v>
      </c>
      <c r="D18" s="35" t="s">
        <v>37</v>
      </c>
      <c r="E18" s="37">
        <f>IF(A18=0,0,VLOOKUP(A18,'2Рабочее время'!$A$1:$K$100,9,FALSE)/365)</f>
        <v>0</v>
      </c>
      <c r="F18" s="79" t="s">
        <v>37</v>
      </c>
      <c r="G18" s="80">
        <f>IF(A18=0,0,VLOOKUP(A18,'2Рабочее время'!$A$1:$K$100,8,FALSE)/365)</f>
        <v>0</v>
      </c>
      <c r="H18" s="81">
        <f>IF(A18=0,0,IF((IF((VLOOKUP(A18,'1Описание работ'!$D:$Y,15,FALSE)&gt;0),VLOOKUP(A18,'1Описание работ'!$D:$Y,15,FALSE),0))&gt;0,0.0001,0))</f>
        <v>0</v>
      </c>
      <c r="I18" s="88">
        <f>IF(A18=0,0,VLOOKUP(A18,'2Рабочее время'!$A$1:$L$100,12,FALSE))</f>
        <v>0</v>
      </c>
      <c r="J18" s="82"/>
      <c r="K18" s="81">
        <f>IF(A18=0,0,J18/VLOOKUP(A18,'2Рабочее время'!$A:$L,4,FALSE))</f>
        <v>0</v>
      </c>
      <c r="L18" s="79"/>
      <c r="M18" s="79">
        <f t="shared" si="7"/>
        <v>1</v>
      </c>
      <c r="N18" s="81">
        <v>1</v>
      </c>
      <c r="O18" s="83">
        <f t="shared" si="2"/>
        <v>1</v>
      </c>
      <c r="P18" s="98">
        <f>VLOOKUP(A18,'Потери рабочего времени'!$A$1:$H$100,8,FALSE)/60</f>
        <v>0</v>
      </c>
      <c r="Q18" s="99">
        <f>IF(A18=0,0,IF($P$2="+",(VLOOKUP(A18,'Потери рабочего времени'!$A$1:$H$30,8,FALSE))/60/VLOOKUP(A18,'2Рабочее время'!$A$1:$L$35,4),0))</f>
        <v>0</v>
      </c>
      <c r="R18" s="84"/>
      <c r="S18" s="13">
        <f>SUMIF('1Описание работ'!D:D,A18,'1Описание работ'!Y:Y)*(1+IF($I$2="+",I18,0)+IF($H$2="+",H18,0)+IF($J$2="+",K18,0)+Q18)*O18*M18</f>
        <v>0</v>
      </c>
      <c r="T18" s="15">
        <f t="shared" si="3"/>
        <v>0</v>
      </c>
      <c r="U18" s="13">
        <f>IF(S18=0,0,S18/VLOOKUP(A18,'2Рабочее время'!$A$1:$L$100,10,FALSE))*(1+(IF(AND($D$2="+",D18="+"),E18,0))+(IF(AND($F$2="+",F18="+"),G18,0))+(IF(AND($B$2="+",B18="+"),C18,0)))</f>
        <v>0</v>
      </c>
      <c r="V18" s="14">
        <f t="shared" si="8"/>
        <v>0</v>
      </c>
      <c r="W18" s="14">
        <f>IF(A18=0,0,VLOOKUP(A18,'Штатные должности'!$A:$C,2,FALSE))</f>
        <v>0</v>
      </c>
      <c r="X18" s="14">
        <f t="shared" si="9"/>
        <v>0</v>
      </c>
      <c r="Y18" s="32">
        <f>IF(A18=0,0,S18/(W18*VLOOKUP(A18,'2Рабочее время'!$A:$L,10,FALSE)))</f>
        <v>0</v>
      </c>
      <c r="Z18" s="32">
        <f>IF(S18&gt;0,(IF(A18=0,0,S18/(V18*VLOOKUP(A18,'2Рабочее время'!$A:$L,10,FALSE)))),0)</f>
        <v>0</v>
      </c>
      <c r="AA18" s="39">
        <f>IF(A18=0,0,U18*VLOOKUP(A18,'Штатные должности'!$A:$C,3,FALSE))</f>
        <v>0</v>
      </c>
      <c r="AB18" s="39">
        <f>IF(A18=0,0,V18*VLOOKUP(A18,'Штатные должности'!$A:$C,3,FALSE))</f>
        <v>0</v>
      </c>
      <c r="AC18" s="39">
        <f>IF(A18=0,0,W18*VLOOKUP(A18,'Штатные должности'!$A:$C,3,FALSE))</f>
        <v>0</v>
      </c>
      <c r="AD18" s="39">
        <f t="shared" si="10"/>
        <v>0</v>
      </c>
    </row>
    <row r="19" spans="1:30" s="11" customFormat="1" ht="30.75" customHeight="1" x14ac:dyDescent="0.25">
      <c r="A19" s="100">
        <f>'Штатные должности'!A16</f>
        <v>0</v>
      </c>
      <c r="B19" s="35" t="s">
        <v>37</v>
      </c>
      <c r="C19" s="36">
        <f>IF(A19=0,0,VLOOKUP(A19,'2Рабочее время'!$A$1:$K$100,7,FALSE)/365)</f>
        <v>0</v>
      </c>
      <c r="D19" s="35" t="s">
        <v>37</v>
      </c>
      <c r="E19" s="37">
        <f>IF(A19=0,0,VLOOKUP(A19,'2Рабочее время'!$A$1:$K$100,9,FALSE)/365)</f>
        <v>0</v>
      </c>
      <c r="F19" s="79" t="s">
        <v>37</v>
      </c>
      <c r="G19" s="80">
        <f>IF(A19=0,0,VLOOKUP(A19,'2Рабочее время'!$A$1:$K$100,8,FALSE)/365)</f>
        <v>0</v>
      </c>
      <c r="H19" s="81">
        <f>IF(A19=0,0,IF((IF((VLOOKUP(A19,'1Описание работ'!$D:$Y,15,FALSE)&gt;0),VLOOKUP(A19,'1Описание работ'!$D:$Y,15,FALSE),0))&gt;0,0.0001,0))</f>
        <v>0</v>
      </c>
      <c r="I19" s="88">
        <f>IF(A19=0,0,VLOOKUP(A19,'2Рабочее время'!$A$1:$L$100,12,FALSE))</f>
        <v>0</v>
      </c>
      <c r="J19" s="82"/>
      <c r="K19" s="81">
        <f>IF(A19=0,0,J19/VLOOKUP(A19,'2Рабочее время'!$A:$L,4,FALSE))</f>
        <v>0</v>
      </c>
      <c r="L19" s="79"/>
      <c r="M19" s="79">
        <f t="shared" si="7"/>
        <v>1</v>
      </c>
      <c r="N19" s="81">
        <v>1</v>
      </c>
      <c r="O19" s="83">
        <f t="shared" si="2"/>
        <v>1</v>
      </c>
      <c r="P19" s="98">
        <f>VLOOKUP(A19,'Потери рабочего времени'!$A$1:$H$100,8,FALSE)/60</f>
        <v>0</v>
      </c>
      <c r="Q19" s="99">
        <f>IF(A19=0,0,IF($P$2="+",(VLOOKUP(A19,'Потери рабочего времени'!$A$1:$H$30,8,FALSE))/60/VLOOKUP(A19,'2Рабочее время'!$A$1:$L$35,4),0))</f>
        <v>0</v>
      </c>
      <c r="R19" s="84"/>
      <c r="S19" s="13">
        <f>SUMIF('1Описание работ'!D:D,A19,'1Описание работ'!Y:Y)*(1+IF($I$2="+",I19,0)+IF($H$2="+",H19,0)+IF($J$2="+",K19,0)+Q19)*O19*M19</f>
        <v>0</v>
      </c>
      <c r="T19" s="15">
        <f t="shared" si="3"/>
        <v>0</v>
      </c>
      <c r="U19" s="13">
        <f>IF(S19=0,0,S19/VLOOKUP(A19,'2Рабочее время'!$A$1:$L$100,10,FALSE))*(1+(IF(AND($D$2="+",D19="+"),E19,0))+(IF(AND($F$2="+",F19="+"),G19,0))+(IF(AND($B$2="+",B19="+"),C19,0)))</f>
        <v>0</v>
      </c>
      <c r="V19" s="14">
        <f t="shared" si="8"/>
        <v>0</v>
      </c>
      <c r="W19" s="14">
        <f>IF(A19=0,0,VLOOKUP(A19,'Штатные должности'!$A:$C,2,FALSE))</f>
        <v>0</v>
      </c>
      <c r="X19" s="14">
        <f t="shared" si="9"/>
        <v>0</v>
      </c>
      <c r="Y19" s="32">
        <f>IF(A19=0,0,S19/(W19*VLOOKUP(A19,'2Рабочее время'!$A:$L,10,FALSE)))</f>
        <v>0</v>
      </c>
      <c r="Z19" s="32">
        <f>IF(S19&gt;0,(IF(A19=0,0,S19/(V19*VLOOKUP(A19,'2Рабочее время'!$A:$L,10,FALSE)))),0)</f>
        <v>0</v>
      </c>
      <c r="AA19" s="39">
        <f>IF(A19=0,0,U19*VLOOKUP(A19,'Штатные должности'!$A:$C,3,FALSE))</f>
        <v>0</v>
      </c>
      <c r="AB19" s="39">
        <f>IF(A19=0,0,V19*VLOOKUP(A19,'Штатные должности'!$A:$C,3,FALSE))</f>
        <v>0</v>
      </c>
      <c r="AC19" s="39">
        <f>IF(A19=0,0,W19*VLOOKUP(A19,'Штатные должности'!$A:$C,3,FALSE))</f>
        <v>0</v>
      </c>
      <c r="AD19" s="39">
        <f t="shared" si="10"/>
        <v>0</v>
      </c>
    </row>
    <row r="20" spans="1:30" s="10" customFormat="1" ht="30.75" customHeight="1" x14ac:dyDescent="0.25">
      <c r="A20" s="100">
        <f>'Штатные должности'!A17</f>
        <v>0</v>
      </c>
      <c r="B20" s="35" t="s">
        <v>37</v>
      </c>
      <c r="C20" s="36">
        <f>IF(A20=0,0,VLOOKUP(A20,'2Рабочее время'!$A$1:$K$100,7,FALSE)/365)</f>
        <v>0</v>
      </c>
      <c r="D20" s="35" t="s">
        <v>37</v>
      </c>
      <c r="E20" s="37">
        <f>IF(A20=0,0,VLOOKUP(A20,'2Рабочее время'!$A$1:$K$100,9,FALSE)/365)</f>
        <v>0</v>
      </c>
      <c r="F20" s="79" t="s">
        <v>37</v>
      </c>
      <c r="G20" s="80">
        <f>IF(A20=0,0,VLOOKUP(A20,'2Рабочее время'!$A$1:$K$100,8,FALSE)/365)</f>
        <v>0</v>
      </c>
      <c r="H20" s="81">
        <f>IF(A20=0,0,IF((IF((VLOOKUP(A20,'1Описание работ'!$D:$Y,15,FALSE)&gt;0),VLOOKUP(A20,'1Описание работ'!$D:$Y,15,FALSE),0))&gt;0,0.0001,0))</f>
        <v>0</v>
      </c>
      <c r="I20" s="88">
        <f>IF(A20=0,0,VLOOKUP(A20,'2Рабочее время'!$A$1:$L$100,12,FALSE))</f>
        <v>0</v>
      </c>
      <c r="J20" s="82"/>
      <c r="K20" s="81">
        <f>IF(A20=0,0,J20/VLOOKUP(A20,'2Рабочее время'!$A:$L,4,FALSE))</f>
        <v>0</v>
      </c>
      <c r="L20" s="79"/>
      <c r="M20" s="79">
        <f t="shared" si="7"/>
        <v>1</v>
      </c>
      <c r="N20" s="81">
        <v>1</v>
      </c>
      <c r="O20" s="83">
        <f t="shared" si="2"/>
        <v>1</v>
      </c>
      <c r="P20" s="98">
        <f>VLOOKUP(A20,'Потери рабочего времени'!$A$1:$H$100,8,FALSE)/60</f>
        <v>0</v>
      </c>
      <c r="Q20" s="99">
        <f>IF(A20=0,0,IF($P$2="+",(VLOOKUP(A20,'Потери рабочего времени'!$A$1:$H$30,8,FALSE))/60/VLOOKUP(A20,'2Рабочее время'!$A$1:$L$35,4),0))</f>
        <v>0</v>
      </c>
      <c r="R20" s="84"/>
      <c r="S20" s="13">
        <f>SUMIF('1Описание работ'!D:D,A20,'1Описание работ'!Y:Y)*(1+IF($I$2="+",I20,0)+IF($H$2="+",H20,0)+IF($J$2="+",K20,0)+Q20)*O20*M20</f>
        <v>0</v>
      </c>
      <c r="T20" s="15">
        <f t="shared" si="3"/>
        <v>0</v>
      </c>
      <c r="U20" s="13">
        <f>IF(S20=0,0,S20/VLOOKUP(A20,'2Рабочее время'!$A$1:$L$100,10,FALSE))*(1+(IF(AND($D$2="+",D20="+"),E20,0))+(IF(AND($F$2="+",F20="+"),G20,0))+(IF(AND($B$2="+",B20="+"),C20,0)))</f>
        <v>0</v>
      </c>
      <c r="V20" s="14">
        <f t="shared" si="8"/>
        <v>0</v>
      </c>
      <c r="W20" s="14">
        <f>IF(A20=0,0,VLOOKUP(A20,'Штатные должности'!$A:$C,2,FALSE))</f>
        <v>0</v>
      </c>
      <c r="X20" s="14">
        <f t="shared" si="9"/>
        <v>0</v>
      </c>
      <c r="Y20" s="32">
        <f>IF(A20=0,0,S20/(W20*VLOOKUP(A20,'2Рабочее время'!$A:$L,10,FALSE)))</f>
        <v>0</v>
      </c>
      <c r="Z20" s="32">
        <f>IF(S20&gt;0,(IF(A20=0,0,S20/(V20*VLOOKUP(A20,'2Рабочее время'!$A:$L,10,FALSE)))),0)</f>
        <v>0</v>
      </c>
      <c r="AA20" s="39">
        <f>IF(A20=0,0,U20*VLOOKUP(A20,'Штатные должности'!$A:$C,3,FALSE))</f>
        <v>0</v>
      </c>
      <c r="AB20" s="39">
        <f>IF(A20=0,0,V20*VLOOKUP(A20,'Штатные должности'!$A:$C,3,FALSE))</f>
        <v>0</v>
      </c>
      <c r="AC20" s="39">
        <f>IF(A20=0,0,W20*VLOOKUP(A20,'Штатные должности'!$A:$C,3,FALSE))</f>
        <v>0</v>
      </c>
      <c r="AD20" s="39">
        <f t="shared" si="10"/>
        <v>0</v>
      </c>
    </row>
    <row r="21" spans="1:30" s="7" customFormat="1" ht="30.75" customHeight="1" x14ac:dyDescent="0.25">
      <c r="A21" s="100">
        <f>'Штатные должности'!A18</f>
        <v>0</v>
      </c>
      <c r="B21" s="35" t="s">
        <v>37</v>
      </c>
      <c r="C21" s="36">
        <f>IF(A21=0,0,VLOOKUP(A21,'2Рабочее время'!$A$1:$K$100,7,FALSE)/365)</f>
        <v>0</v>
      </c>
      <c r="D21" s="35" t="s">
        <v>37</v>
      </c>
      <c r="E21" s="37">
        <f>IF(A21=0,0,VLOOKUP(A21,'2Рабочее время'!$A$1:$K$100,9,FALSE)/365)</f>
        <v>0</v>
      </c>
      <c r="F21" s="79" t="s">
        <v>37</v>
      </c>
      <c r="G21" s="80">
        <f>IF(A21=0,0,VLOOKUP(A21,'2Рабочее время'!$A$1:$K$100,8,FALSE)/365)</f>
        <v>0</v>
      </c>
      <c r="H21" s="81">
        <f>IF(A21=0,0,IF((IF((VLOOKUP(A21,'1Описание работ'!$D:$Y,15,FALSE)&gt;0),VLOOKUP(A21,'1Описание работ'!$D:$Y,15,FALSE),0))&gt;0,0.0001,0))</f>
        <v>0</v>
      </c>
      <c r="I21" s="88">
        <f>IF(A21=0,0,VLOOKUP(A21,'2Рабочее время'!$A$1:$L$100,12,FALSE))</f>
        <v>0</v>
      </c>
      <c r="J21" s="82"/>
      <c r="K21" s="81">
        <f>IF(A21=0,0,J21/VLOOKUP(A21,'2Рабочее время'!$A:$L,4,FALSE))</f>
        <v>0</v>
      </c>
      <c r="L21" s="79"/>
      <c r="M21" s="79">
        <f t="shared" si="7"/>
        <v>1</v>
      </c>
      <c r="N21" s="81">
        <v>1</v>
      </c>
      <c r="O21" s="83">
        <f t="shared" si="2"/>
        <v>1</v>
      </c>
      <c r="P21" s="98">
        <f>VLOOKUP(A21,'Потери рабочего времени'!$A$1:$H$100,8,FALSE)/60</f>
        <v>0</v>
      </c>
      <c r="Q21" s="99">
        <f>IF(A21=0,0,IF($P$2="+",(VLOOKUP(A21,'Потери рабочего времени'!$A$1:$H$30,8,FALSE))/60/VLOOKUP(A21,'2Рабочее время'!$A$1:$L$35,4),0))</f>
        <v>0</v>
      </c>
      <c r="R21" s="84"/>
      <c r="S21" s="13">
        <f>SUMIF('1Описание работ'!D:D,A21,'1Описание работ'!Y:Y)*(1+IF($I$2="+",I21,0)+IF($H$2="+",H21,0)+IF($J$2="+",K21,0)+Q21)*O21*M21</f>
        <v>0</v>
      </c>
      <c r="T21" s="15">
        <f t="shared" si="3"/>
        <v>0</v>
      </c>
      <c r="U21" s="13">
        <f>IF(S21=0,0,S21/VLOOKUP(A21,'2Рабочее время'!$A$1:$L$100,10,FALSE))*(1+(IF(AND($D$2="+",D21="+"),E21,0))+(IF(AND($F$2="+",F21="+"),G21,0))+(IF(AND($B$2="+",B21="+"),C21,0)))</f>
        <v>0</v>
      </c>
      <c r="V21" s="14">
        <f t="shared" si="8"/>
        <v>0</v>
      </c>
      <c r="W21" s="14">
        <f>IF(A21=0,0,VLOOKUP(A21,'Штатные должности'!$A:$C,2,FALSE))</f>
        <v>0</v>
      </c>
      <c r="X21" s="14">
        <f t="shared" si="9"/>
        <v>0</v>
      </c>
      <c r="Y21" s="32">
        <f>IF(A21=0,0,S21/(W21*VLOOKUP(A21,'2Рабочее время'!$A:$L,10,FALSE)))</f>
        <v>0</v>
      </c>
      <c r="Z21" s="32">
        <f>IF(S21&gt;0,(IF(A21=0,0,S21/(V21*VLOOKUP(A21,'2Рабочее время'!$A:$L,10,FALSE)))),0)</f>
        <v>0</v>
      </c>
      <c r="AA21" s="39">
        <f>IF(A21=0,0,U21*VLOOKUP(A21,'Штатные должности'!$A:$C,3,FALSE))</f>
        <v>0</v>
      </c>
      <c r="AB21" s="39">
        <f>IF(A21=0,0,V21*VLOOKUP(A21,'Штатные должности'!$A:$C,3,FALSE))</f>
        <v>0</v>
      </c>
      <c r="AC21" s="39">
        <f>IF(A21=0,0,W21*VLOOKUP(A21,'Штатные должности'!$A:$C,3,FALSE))</f>
        <v>0</v>
      </c>
      <c r="AD21" s="39">
        <f t="shared" si="10"/>
        <v>0</v>
      </c>
    </row>
    <row r="22" spans="1:30" s="11" customFormat="1" ht="30.75" customHeight="1" x14ac:dyDescent="0.25">
      <c r="A22" s="100">
        <f>'Штатные должности'!A19</f>
        <v>0</v>
      </c>
      <c r="B22" s="35" t="s">
        <v>37</v>
      </c>
      <c r="C22" s="36">
        <f>IF(A22=0,0,VLOOKUP(A22,'2Рабочее время'!$A$1:$K$100,7,FALSE)/365)</f>
        <v>0</v>
      </c>
      <c r="D22" s="35" t="s">
        <v>37</v>
      </c>
      <c r="E22" s="37">
        <f>IF(A22=0,0,VLOOKUP(A22,'2Рабочее время'!$A$1:$K$100,9,FALSE)/365)</f>
        <v>0</v>
      </c>
      <c r="F22" s="79" t="s">
        <v>37</v>
      </c>
      <c r="G22" s="80">
        <f>IF(A22=0,0,VLOOKUP(A22,'2Рабочее время'!$A$1:$K$100,8,FALSE)/365)</f>
        <v>0</v>
      </c>
      <c r="H22" s="81">
        <f>IF(A22=0,0,IF((IF((VLOOKUP(A22,'1Описание работ'!$D:$Y,15,FALSE)&gt;0),VLOOKUP(A22,'1Описание работ'!$D:$Y,15,FALSE),0))&gt;0,0.0001,0))</f>
        <v>0</v>
      </c>
      <c r="I22" s="88">
        <f>IF(A22=0,0,VLOOKUP(A22,'2Рабочее время'!$A$1:$L$100,12,FALSE))</f>
        <v>0</v>
      </c>
      <c r="J22" s="82"/>
      <c r="K22" s="81">
        <f>IF(A22=0,0,J22/VLOOKUP(A22,'2Рабочее время'!$A:$L,4,FALSE))</f>
        <v>0</v>
      </c>
      <c r="L22" s="79"/>
      <c r="M22" s="79">
        <f t="shared" si="7"/>
        <v>1</v>
      </c>
      <c r="N22" s="81">
        <v>1</v>
      </c>
      <c r="O22" s="83">
        <f t="shared" si="2"/>
        <v>1</v>
      </c>
      <c r="P22" s="98">
        <f>VLOOKUP(A22,'Потери рабочего времени'!$A$1:$H$100,8,FALSE)/60</f>
        <v>0</v>
      </c>
      <c r="Q22" s="99">
        <f>IF(A22=0,0,IF($P$2="+",(VLOOKUP(A22,'Потери рабочего времени'!$A$1:$H$30,8,FALSE))/60/VLOOKUP(A22,'2Рабочее время'!$A$1:$L$35,4),0))</f>
        <v>0</v>
      </c>
      <c r="R22" s="84"/>
      <c r="S22" s="13">
        <f>SUMIF('1Описание работ'!D:D,A22,'1Описание работ'!Y:Y)*(1+IF($I$2="+",I22,0)+IF($H$2="+",H22,0)+IF($J$2="+",K22,0)+Q22)*O22*M22</f>
        <v>0</v>
      </c>
      <c r="T22" s="15">
        <f t="shared" si="3"/>
        <v>0</v>
      </c>
      <c r="U22" s="13">
        <f>IF(S22=0,0,S22/VLOOKUP(A22,'2Рабочее время'!$A$1:$L$100,10,FALSE))*(1+(IF(AND($D$2="+",D22="+"),E22,0))+(IF(AND($F$2="+",F22="+"),G22,0))+(IF(AND($B$2="+",B22="+"),C22,0)))</f>
        <v>0</v>
      </c>
      <c r="V22" s="14">
        <f t="shared" si="8"/>
        <v>0</v>
      </c>
      <c r="W22" s="14">
        <f>IF(A22=0,0,VLOOKUP(A22,'Штатные должности'!$A:$C,2,FALSE))</f>
        <v>0</v>
      </c>
      <c r="X22" s="14">
        <f t="shared" si="9"/>
        <v>0</v>
      </c>
      <c r="Y22" s="32">
        <f>IF(A22=0,0,S22/(W22*VLOOKUP(A22,'2Рабочее время'!$A:$L,10,FALSE)))</f>
        <v>0</v>
      </c>
      <c r="Z22" s="32">
        <f>IF(S22&gt;0,(IF(A22=0,0,S22/(V22*VLOOKUP(A22,'2Рабочее время'!$A:$L,10,FALSE)))),0)</f>
        <v>0</v>
      </c>
      <c r="AA22" s="39">
        <f>IF(A22=0,0,U22*VLOOKUP(A22,'Штатные должности'!$A:$C,3,FALSE))</f>
        <v>0</v>
      </c>
      <c r="AB22" s="39">
        <f>IF(A22=0,0,V22*VLOOKUP(A22,'Штатные должности'!$A:$C,3,FALSE))</f>
        <v>0</v>
      </c>
      <c r="AC22" s="39">
        <f>IF(A22=0,0,W22*VLOOKUP(A22,'Штатные должности'!$A:$C,3,FALSE))</f>
        <v>0</v>
      </c>
      <c r="AD22" s="39">
        <f t="shared" si="10"/>
        <v>0</v>
      </c>
    </row>
    <row r="23" spans="1:30" s="10" customFormat="1" ht="30.75" customHeight="1" x14ac:dyDescent="0.25">
      <c r="A23" s="100">
        <f>'Штатные должности'!A20</f>
        <v>0</v>
      </c>
      <c r="B23" s="35" t="s">
        <v>37</v>
      </c>
      <c r="C23" s="36">
        <f>IF(A23=0,0,VLOOKUP(A23,'2Рабочее время'!$A$1:$K$100,7,FALSE)/365)</f>
        <v>0</v>
      </c>
      <c r="D23" s="35" t="s">
        <v>37</v>
      </c>
      <c r="E23" s="37">
        <f>IF(A23=0,0,VLOOKUP(A23,'2Рабочее время'!$A$1:$K$100,9,FALSE)/365)</f>
        <v>0</v>
      </c>
      <c r="F23" s="79" t="s">
        <v>37</v>
      </c>
      <c r="G23" s="80">
        <f>IF(A23=0,0,VLOOKUP(A23,'2Рабочее время'!$A$1:$K$100,8,FALSE)/365)</f>
        <v>0</v>
      </c>
      <c r="H23" s="81">
        <f>IF(A23=0,0,IF((IF((VLOOKUP(A23,'1Описание работ'!$D:$Y,15,FALSE)&gt;0),VLOOKUP(A23,'1Описание работ'!$D:$Y,15,FALSE),0))&gt;0,0.0001,0))</f>
        <v>0</v>
      </c>
      <c r="I23" s="88">
        <f>IF(A23=0,0,VLOOKUP(A23,'2Рабочее время'!$A$1:$L$100,12,FALSE))</f>
        <v>0</v>
      </c>
      <c r="J23" s="82"/>
      <c r="K23" s="81">
        <f>IF(A23=0,0,J23/VLOOKUP(A23,'2Рабочее время'!$A:$L,4,FALSE))</f>
        <v>0</v>
      </c>
      <c r="L23" s="79"/>
      <c r="M23" s="79">
        <f t="shared" si="7"/>
        <v>1</v>
      </c>
      <c r="N23" s="81">
        <v>1</v>
      </c>
      <c r="O23" s="83">
        <f t="shared" si="2"/>
        <v>1</v>
      </c>
      <c r="P23" s="98">
        <f>VLOOKUP(A23,'Потери рабочего времени'!$A$1:$H$100,8,FALSE)/60</f>
        <v>0</v>
      </c>
      <c r="Q23" s="99">
        <f>IF(A23=0,0,IF($P$2="+",(VLOOKUP(A23,'Потери рабочего времени'!$A$1:$H$30,8,FALSE))/60/VLOOKUP(A23,'2Рабочее время'!$A$1:$L$35,4),0))</f>
        <v>0</v>
      </c>
      <c r="R23" s="84"/>
      <c r="S23" s="13">
        <f>SUMIF('1Описание работ'!D:D,A23,'1Описание работ'!Y:Y)*(1+IF($I$2="+",I23,0)+IF($H$2="+",H23,0)+IF($J$2="+",K23,0)+Q23)*O23*M23</f>
        <v>0</v>
      </c>
      <c r="T23" s="15">
        <f t="shared" si="3"/>
        <v>0</v>
      </c>
      <c r="U23" s="13">
        <f>IF(S23=0,0,S23/VLOOKUP(A23,'2Рабочее время'!$A$1:$L$100,10,FALSE))*(1+(IF(AND($D$2="+",D23="+"),E23,0))+(IF(AND($F$2="+",F23="+"),G23,0))+(IF(AND($B$2="+",B23="+"),C23,0)))</f>
        <v>0</v>
      </c>
      <c r="V23" s="14">
        <f t="shared" si="8"/>
        <v>0</v>
      </c>
      <c r="W23" s="14">
        <f>IF(A23=0,0,VLOOKUP(A23,'Штатные должности'!$A:$C,2,FALSE))</f>
        <v>0</v>
      </c>
      <c r="X23" s="14">
        <f t="shared" si="9"/>
        <v>0</v>
      </c>
      <c r="Y23" s="32">
        <f>IF(A23=0,0,S23/(W23*VLOOKUP(A23,'2Рабочее время'!$A:$L,10,FALSE)))</f>
        <v>0</v>
      </c>
      <c r="Z23" s="32">
        <f>IF(S23&gt;0,(IF(A23=0,0,S23/(V23*VLOOKUP(A23,'2Рабочее время'!$A:$L,10,FALSE)))),0)</f>
        <v>0</v>
      </c>
      <c r="AA23" s="39">
        <f>IF(A23=0,0,U23*VLOOKUP(A23,'Штатные должности'!$A:$C,3,FALSE))</f>
        <v>0</v>
      </c>
      <c r="AB23" s="39">
        <f>IF(A23=0,0,V23*VLOOKUP(A23,'Штатные должности'!$A:$C,3,FALSE))</f>
        <v>0</v>
      </c>
      <c r="AC23" s="39">
        <f>IF(A23=0,0,W23*VLOOKUP(A23,'Штатные должности'!$A:$C,3,FALSE))</f>
        <v>0</v>
      </c>
      <c r="AD23" s="39">
        <f t="shared" si="10"/>
        <v>0</v>
      </c>
    </row>
    <row r="24" spans="1:30" s="11" customFormat="1" ht="30.75" customHeight="1" x14ac:dyDescent="0.25">
      <c r="A24" s="100">
        <f>'Штатные должности'!A21</f>
        <v>0</v>
      </c>
      <c r="B24" s="35" t="s">
        <v>37</v>
      </c>
      <c r="C24" s="36">
        <f>IF(A24=0,0,VLOOKUP(A24,'2Рабочее время'!$A$1:$K$100,7,FALSE)/365)</f>
        <v>0</v>
      </c>
      <c r="D24" s="35" t="s">
        <v>37</v>
      </c>
      <c r="E24" s="37">
        <f>IF(A24=0,0,VLOOKUP(A24,'2Рабочее время'!$A$1:$K$100,9,FALSE)/365)</f>
        <v>0</v>
      </c>
      <c r="F24" s="79" t="s">
        <v>37</v>
      </c>
      <c r="G24" s="80">
        <f>IF(A24=0,0,VLOOKUP(A24,'2Рабочее время'!$A$1:$K$100,8,FALSE)/365)</f>
        <v>0</v>
      </c>
      <c r="H24" s="81">
        <f>IF(A24=0,0,IF((IF((VLOOKUP(A24,'1Описание работ'!$D:$Y,15,FALSE)&gt;0),VLOOKUP(A24,'1Описание работ'!$D:$Y,15,FALSE),0))&gt;0,0.0001,0))</f>
        <v>0</v>
      </c>
      <c r="I24" s="88">
        <f>IF(A24=0,0,VLOOKUP(A24,'2Рабочее время'!$A$1:$L$100,12,FALSE))</f>
        <v>0</v>
      </c>
      <c r="J24" s="82"/>
      <c r="K24" s="81">
        <f>IF(A24=0,0,J24/VLOOKUP(A24,'2Рабочее время'!$A:$L,4,FALSE))</f>
        <v>0</v>
      </c>
      <c r="L24" s="79"/>
      <c r="M24" s="79">
        <f t="shared" si="7"/>
        <v>1</v>
      </c>
      <c r="N24" s="81">
        <v>1</v>
      </c>
      <c r="O24" s="83">
        <f t="shared" si="2"/>
        <v>1</v>
      </c>
      <c r="P24" s="98">
        <f>VLOOKUP(A24,'Потери рабочего времени'!$A$1:$H$100,8,FALSE)/60</f>
        <v>0</v>
      </c>
      <c r="Q24" s="99">
        <f>IF(A24=0,0,IF($P$2="+",(VLOOKUP(A24,'Потери рабочего времени'!$A$1:$H$30,8,FALSE))/60/VLOOKUP(A24,'2Рабочее время'!$A$1:$L$35,4),0))</f>
        <v>0</v>
      </c>
      <c r="R24" s="84"/>
      <c r="S24" s="13">
        <f>SUMIF('1Описание работ'!D:D,A24,'1Описание работ'!Y:Y)*(1+IF($I$2="+",I24,0)+IF($H$2="+",H24,0)+IF($J$2="+",K24,0)+Q24)*O24*M24</f>
        <v>0</v>
      </c>
      <c r="T24" s="15">
        <f t="shared" si="3"/>
        <v>0</v>
      </c>
      <c r="U24" s="13">
        <f>IF(S24=0,0,S24/VLOOKUP(A24,'2Рабочее время'!$A$1:$L$100,10,FALSE))*(1+(IF(AND($D$2="+",D24="+"),E24,0))+(IF(AND($F$2="+",F24="+"),G24,0))+(IF(AND($B$2="+",B24="+"),C24,0)))</f>
        <v>0</v>
      </c>
      <c r="V24" s="14">
        <f t="shared" si="8"/>
        <v>0</v>
      </c>
      <c r="W24" s="14">
        <f>IF(A24=0,0,VLOOKUP(A24,'Штатные должности'!$A:$C,2,FALSE))</f>
        <v>0</v>
      </c>
      <c r="X24" s="14">
        <f t="shared" si="9"/>
        <v>0</v>
      </c>
      <c r="Y24" s="32">
        <f>IF(A24=0,0,S24/(W24*VLOOKUP(A24,'2Рабочее время'!$A:$L,10,FALSE)))</f>
        <v>0</v>
      </c>
      <c r="Z24" s="32">
        <f>IF(S24&gt;0,(IF(A24=0,0,S24/(V24*VLOOKUP(A24,'2Рабочее время'!$A:$L,10,FALSE)))),0)</f>
        <v>0</v>
      </c>
      <c r="AA24" s="39">
        <f>IF(A24=0,0,U24*VLOOKUP(A24,'Штатные должности'!$A:$C,3,FALSE))</f>
        <v>0</v>
      </c>
      <c r="AB24" s="39">
        <f>IF(A24=0,0,V24*VLOOKUP(A24,'Штатные должности'!$A:$C,3,FALSE))</f>
        <v>0</v>
      </c>
      <c r="AC24" s="39">
        <f>IF(A24=0,0,W24*VLOOKUP(A24,'Штатные должности'!$A:$C,3,FALSE))</f>
        <v>0</v>
      </c>
      <c r="AD24" s="39">
        <f t="shared" si="10"/>
        <v>0</v>
      </c>
    </row>
    <row r="25" spans="1:30" s="10" customFormat="1" ht="30.75" customHeight="1" x14ac:dyDescent="0.25">
      <c r="A25" s="100">
        <f>'Штатные должности'!A22</f>
        <v>0</v>
      </c>
      <c r="B25" s="35" t="s">
        <v>37</v>
      </c>
      <c r="C25" s="36">
        <f>IF(A25=0,0,VLOOKUP(A25,'2Рабочее время'!$A$1:$K$100,7,FALSE)/365)</f>
        <v>0</v>
      </c>
      <c r="D25" s="35" t="s">
        <v>37</v>
      </c>
      <c r="E25" s="37">
        <f>IF(A25=0,0,VLOOKUP(A25,'2Рабочее время'!$A$1:$K$100,9,FALSE)/365)</f>
        <v>0</v>
      </c>
      <c r="F25" s="79" t="s">
        <v>37</v>
      </c>
      <c r="G25" s="80">
        <f>IF(A25=0,0,VLOOKUP(A25,'2Рабочее время'!$A$1:$K$100,8,FALSE)/365)</f>
        <v>0</v>
      </c>
      <c r="H25" s="81">
        <f>IF(A25=0,0,IF((IF((VLOOKUP(A25,'1Описание работ'!$D:$Y,15,FALSE)&gt;0),VLOOKUP(A25,'1Описание работ'!$D:$Y,15,FALSE),0))&gt;0,0.0001,0))</f>
        <v>0</v>
      </c>
      <c r="I25" s="88">
        <f>IF(A25=0,0,VLOOKUP(A25,'2Рабочее время'!$A$1:$L$100,12,FALSE))</f>
        <v>0</v>
      </c>
      <c r="J25" s="82"/>
      <c r="K25" s="81">
        <f>IF(A25=0,0,J25/VLOOKUP(A25,'2Рабочее время'!$A:$L,4,FALSE))</f>
        <v>0</v>
      </c>
      <c r="L25" s="79"/>
      <c r="M25" s="79">
        <f t="shared" si="7"/>
        <v>1</v>
      </c>
      <c r="N25" s="81">
        <v>1</v>
      </c>
      <c r="O25" s="83">
        <f t="shared" si="2"/>
        <v>1</v>
      </c>
      <c r="P25" s="98">
        <f>VLOOKUP(A25,'Потери рабочего времени'!$A$1:$H$100,8,FALSE)/60</f>
        <v>0</v>
      </c>
      <c r="Q25" s="99">
        <f>IF(A25=0,0,IF($P$2="+",(VLOOKUP(A25,'Потери рабочего времени'!$A$1:$H$30,8,FALSE))/60/VLOOKUP(A25,'2Рабочее время'!$A$1:$L$35,4),0))</f>
        <v>0</v>
      </c>
      <c r="R25" s="84"/>
      <c r="S25" s="13">
        <f>SUMIF('1Описание работ'!D:D,A25,'1Описание работ'!Y:Y)*(1+IF($I$2="+",I25,0)+IF($H$2="+",H25,0)+IF($J$2="+",K25,0)+Q25)*O25*M25</f>
        <v>0</v>
      </c>
      <c r="T25" s="15">
        <f t="shared" si="3"/>
        <v>0</v>
      </c>
      <c r="U25" s="13">
        <f>IF(S25=0,0,S25/VLOOKUP(A25,'2Рабочее время'!$A$1:$L$100,10,FALSE))*(1+(IF(AND($D$2="+",D25="+"),E25,0))+(IF(AND($F$2="+",F25="+"),G25,0))+(IF(AND($B$2="+",B25="+"),C25,0)))</f>
        <v>0</v>
      </c>
      <c r="V25" s="14">
        <f t="shared" si="8"/>
        <v>0</v>
      </c>
      <c r="W25" s="14">
        <f>IF(A25=0,0,VLOOKUP(A25,'Штатные должности'!$A:$C,2,FALSE))</f>
        <v>0</v>
      </c>
      <c r="X25" s="14">
        <f t="shared" si="9"/>
        <v>0</v>
      </c>
      <c r="Y25" s="32">
        <f>IF(A25=0,0,S25/(W25*VLOOKUP(A25,'2Рабочее время'!$A:$L,10,FALSE)))</f>
        <v>0</v>
      </c>
      <c r="Z25" s="32">
        <f>IF(S25&gt;0,(IF(A25=0,0,S25/(V25*VLOOKUP(A25,'2Рабочее время'!$A:$L,10,FALSE)))),0)</f>
        <v>0</v>
      </c>
      <c r="AA25" s="39">
        <f>IF(A25=0,0,U25*VLOOKUP(A25,'Штатные должности'!$A:$C,3,FALSE))</f>
        <v>0</v>
      </c>
      <c r="AB25" s="39">
        <f>IF(A25=0,0,V25*VLOOKUP(A25,'Штатные должности'!$A:$C,3,FALSE))</f>
        <v>0</v>
      </c>
      <c r="AC25" s="39">
        <f>IF(A25=0,0,W25*VLOOKUP(A25,'Штатные должности'!$A:$C,3,FALSE))</f>
        <v>0</v>
      </c>
      <c r="AD25" s="39">
        <f t="shared" si="10"/>
        <v>0</v>
      </c>
    </row>
    <row r="26" spans="1:30" s="7" customFormat="1" ht="30.75" customHeight="1" x14ac:dyDescent="0.25">
      <c r="A26" s="100">
        <f>'Штатные должности'!A23</f>
        <v>0</v>
      </c>
      <c r="B26" s="35" t="s">
        <v>37</v>
      </c>
      <c r="C26" s="36">
        <f>IF(A26=0,0,VLOOKUP(A26,'2Рабочее время'!$A$1:$K$100,7,FALSE)/365)</f>
        <v>0</v>
      </c>
      <c r="D26" s="35" t="s">
        <v>37</v>
      </c>
      <c r="E26" s="37">
        <f>IF(A26=0,0,VLOOKUP(A26,'2Рабочее время'!$A$1:$K$100,9,FALSE)/365)</f>
        <v>0</v>
      </c>
      <c r="F26" s="79" t="s">
        <v>37</v>
      </c>
      <c r="G26" s="80">
        <f>IF(A26=0,0,VLOOKUP(A26,'2Рабочее время'!$A$1:$K$100,8,FALSE)/365)</f>
        <v>0</v>
      </c>
      <c r="H26" s="81">
        <f>IF(A26=0,0,IF((IF((VLOOKUP(A26,'1Описание работ'!$D:$Y,15,FALSE)&gt;0),VLOOKUP(A26,'1Описание работ'!$D:$Y,15,FALSE),0))&gt;0,0.0001,0))</f>
        <v>0</v>
      </c>
      <c r="I26" s="88">
        <f>IF(A26=0,0,VLOOKUP(A26,'2Рабочее время'!$A$1:$L$100,12,FALSE))</f>
        <v>0</v>
      </c>
      <c r="J26" s="82"/>
      <c r="K26" s="81">
        <f>IF(A26=0,0,J26/VLOOKUP(A26,'2Рабочее время'!$A:$L,4,FALSE))</f>
        <v>0</v>
      </c>
      <c r="L26" s="79"/>
      <c r="M26" s="79">
        <f t="shared" si="7"/>
        <v>1</v>
      </c>
      <c r="N26" s="81">
        <v>1</v>
      </c>
      <c r="O26" s="83">
        <f t="shared" si="2"/>
        <v>1</v>
      </c>
      <c r="P26" s="98">
        <f>VLOOKUP(A26,'Потери рабочего времени'!$A$1:$H$100,8,FALSE)/60</f>
        <v>0</v>
      </c>
      <c r="Q26" s="99">
        <f>IF(A26=0,0,IF($P$2="+",(VLOOKUP(A26,'Потери рабочего времени'!$A$1:$H$30,8,FALSE))/60/VLOOKUP(A26,'2Рабочее время'!$A$1:$L$35,4),0))</f>
        <v>0</v>
      </c>
      <c r="R26" s="84"/>
      <c r="S26" s="13">
        <f>SUMIF('1Описание работ'!D:D,A26,'1Описание работ'!Y:Y)*(1+IF($I$2="+",I26,0)+IF($H$2="+",H26,0)+IF($J$2="+",K26,0)+Q26)*O26*M26</f>
        <v>0</v>
      </c>
      <c r="T26" s="15">
        <f t="shared" si="3"/>
        <v>0</v>
      </c>
      <c r="U26" s="13">
        <f>IF(S26=0,0,S26/VLOOKUP(A26,'2Рабочее время'!$A$1:$L$100,10,FALSE))*(1+(IF(AND($D$2="+",D26="+"),E26,0))+(IF(AND($F$2="+",F26="+"),G26,0))+(IF(AND($B$2="+",B26="+"),C26,0)))</f>
        <v>0</v>
      </c>
      <c r="V26" s="14">
        <f t="shared" si="8"/>
        <v>0</v>
      </c>
      <c r="W26" s="14">
        <f>IF(A26=0,0,VLOOKUP(A26,'Штатные должности'!$A:$C,2,FALSE))</f>
        <v>0</v>
      </c>
      <c r="X26" s="14">
        <f t="shared" si="9"/>
        <v>0</v>
      </c>
      <c r="Y26" s="32">
        <f>IF(A26=0,0,S26/(W26*VLOOKUP(A26,'2Рабочее время'!$A:$L,10,FALSE)))</f>
        <v>0</v>
      </c>
      <c r="Z26" s="32">
        <f>IF(S26&gt;0,(IF(A26=0,0,S26/(V26*VLOOKUP(A26,'2Рабочее время'!$A:$L,10,FALSE)))),0)</f>
        <v>0</v>
      </c>
      <c r="AA26" s="39">
        <f>IF(A26=0,0,U26*VLOOKUP(A26,'Штатные должности'!$A:$C,3,FALSE))</f>
        <v>0</v>
      </c>
      <c r="AB26" s="39">
        <f>IF(A26=0,0,V26*VLOOKUP(A26,'Штатные должности'!$A:$C,3,FALSE))</f>
        <v>0</v>
      </c>
      <c r="AC26" s="39">
        <f>IF(A26=0,0,W26*VLOOKUP(A26,'Штатные должности'!$A:$C,3,FALSE))</f>
        <v>0</v>
      </c>
      <c r="AD26" s="39">
        <f t="shared" si="10"/>
        <v>0</v>
      </c>
    </row>
    <row r="27" spans="1:30" s="11" customFormat="1" ht="30.75" customHeight="1" x14ac:dyDescent="0.25">
      <c r="A27" s="100">
        <f>'Штатные должности'!A24</f>
        <v>0</v>
      </c>
      <c r="B27" s="35" t="s">
        <v>37</v>
      </c>
      <c r="C27" s="36">
        <f>IF(A27=0,0,VLOOKUP(A27,'2Рабочее время'!$A$1:$K$100,7,FALSE)/365)</f>
        <v>0</v>
      </c>
      <c r="D27" s="35" t="s">
        <v>37</v>
      </c>
      <c r="E27" s="37">
        <f>IF(A27=0,0,VLOOKUP(A27,'2Рабочее время'!$A$1:$K$100,9,FALSE)/365)</f>
        <v>0</v>
      </c>
      <c r="F27" s="79" t="s">
        <v>37</v>
      </c>
      <c r="G27" s="80">
        <f>IF(A27=0,0,VLOOKUP(A27,'2Рабочее время'!$A$1:$K$100,8,FALSE)/365)</f>
        <v>0</v>
      </c>
      <c r="H27" s="81">
        <f>IF(A27=0,0,IF((IF((VLOOKUP(A27,'1Описание работ'!$D:$Y,15,FALSE)&gt;0),VLOOKUP(A27,'1Описание работ'!$D:$Y,15,FALSE),0))&gt;0,0.0001,0))</f>
        <v>0</v>
      </c>
      <c r="I27" s="88">
        <f>IF(A27=0,0,VLOOKUP(A27,'2Рабочее время'!$A$1:$L$100,12,FALSE))</f>
        <v>0</v>
      </c>
      <c r="J27" s="82"/>
      <c r="K27" s="81">
        <f>IF(A27=0,0,J27/VLOOKUP(A27,'2Рабочее время'!$A:$L,4,FALSE))</f>
        <v>0</v>
      </c>
      <c r="L27" s="79"/>
      <c r="M27" s="79">
        <f t="shared" si="7"/>
        <v>1</v>
      </c>
      <c r="N27" s="81">
        <v>1</v>
      </c>
      <c r="O27" s="83">
        <f t="shared" si="2"/>
        <v>1</v>
      </c>
      <c r="P27" s="98">
        <f>VLOOKUP(A27,'Потери рабочего времени'!$A$1:$H$100,8,FALSE)/60</f>
        <v>0</v>
      </c>
      <c r="Q27" s="99">
        <f>IF(A27=0,0,IF($P$2="+",(VLOOKUP(A27,'Потери рабочего времени'!$A$1:$H$30,8,FALSE))/60/VLOOKUP(A27,'2Рабочее время'!$A$1:$L$35,4),0))</f>
        <v>0</v>
      </c>
      <c r="R27" s="84"/>
      <c r="S27" s="13">
        <f>SUMIF('1Описание работ'!D:D,A27,'1Описание работ'!Y:Y)*(1+IF($I$2="+",I27,0)+IF($H$2="+",H27,0)+IF($J$2="+",K27,0)+Q27)*O27*M27</f>
        <v>0</v>
      </c>
      <c r="T27" s="15">
        <f t="shared" si="3"/>
        <v>0</v>
      </c>
      <c r="U27" s="13">
        <f>IF(S27=0,0,S27/VLOOKUP(A27,'2Рабочее время'!$A$1:$L$100,10,FALSE))*(1+(IF(AND($D$2="+",D27="+"),E27,0))+(IF(AND($F$2="+",F27="+"),G27,0))+(IF(AND($B$2="+",B27="+"),C27,0)))</f>
        <v>0</v>
      </c>
      <c r="V27" s="14">
        <f t="shared" si="8"/>
        <v>0</v>
      </c>
      <c r="W27" s="14">
        <f>IF(A27=0,0,VLOOKUP(A27,'Штатные должности'!$A:$C,2,FALSE))</f>
        <v>0</v>
      </c>
      <c r="X27" s="14">
        <f t="shared" si="9"/>
        <v>0</v>
      </c>
      <c r="Y27" s="32">
        <f>IF(A27=0,0,S27/(W27*VLOOKUP(A27,'2Рабочее время'!$A:$L,10,FALSE)))</f>
        <v>0</v>
      </c>
      <c r="Z27" s="32">
        <f>IF(S27&gt;0,(IF(A27=0,0,S27/(V27*VLOOKUP(A27,'2Рабочее время'!$A:$L,10,FALSE)))),0)</f>
        <v>0</v>
      </c>
      <c r="AA27" s="39">
        <f>IF(A27=0,0,U27*VLOOKUP(A27,'Штатные должности'!$A:$C,3,FALSE))</f>
        <v>0</v>
      </c>
      <c r="AB27" s="39">
        <f>IF(A27=0,0,V27*VLOOKUP(A27,'Штатные должности'!$A:$C,3,FALSE))</f>
        <v>0</v>
      </c>
      <c r="AC27" s="39">
        <f>IF(A27=0,0,W27*VLOOKUP(A27,'Штатные должности'!$A:$C,3,FALSE))</f>
        <v>0</v>
      </c>
      <c r="AD27" s="39">
        <f t="shared" si="10"/>
        <v>0</v>
      </c>
    </row>
    <row r="28" spans="1:30" s="10" customFormat="1" ht="30.75" customHeight="1" x14ac:dyDescent="0.25">
      <c r="A28" s="100">
        <f>'Штатные должности'!A25</f>
        <v>0</v>
      </c>
      <c r="B28" s="35" t="s">
        <v>37</v>
      </c>
      <c r="C28" s="36">
        <f>IF(A28=0,0,VLOOKUP(A28,'2Рабочее время'!$A$1:$K$100,7,FALSE)/365)</f>
        <v>0</v>
      </c>
      <c r="D28" s="35" t="s">
        <v>37</v>
      </c>
      <c r="E28" s="37">
        <f>IF(A28=0,0,VLOOKUP(A28,'2Рабочее время'!$A$1:$K$100,9,FALSE)/365)</f>
        <v>0</v>
      </c>
      <c r="F28" s="79" t="s">
        <v>37</v>
      </c>
      <c r="G28" s="80">
        <f>IF(A28=0,0,VLOOKUP(A28,'2Рабочее время'!$A$1:$K$100,8,FALSE)/365)</f>
        <v>0</v>
      </c>
      <c r="H28" s="81">
        <f>IF(A28=0,0,IF((IF((VLOOKUP(A28,'1Описание работ'!$D:$Y,15,FALSE)&gt;0),VLOOKUP(A28,'1Описание работ'!$D:$Y,15,FALSE),0))&gt;0,0.0001,0))</f>
        <v>0</v>
      </c>
      <c r="I28" s="88">
        <f>IF(A28=0,0,VLOOKUP(A28,'2Рабочее время'!$A$1:$L$100,12,FALSE))</f>
        <v>0</v>
      </c>
      <c r="J28" s="82"/>
      <c r="K28" s="81">
        <f>IF(A28=0,0,J28/VLOOKUP(A28,'2Рабочее время'!$A:$L,4,FALSE))</f>
        <v>0</v>
      </c>
      <c r="L28" s="79"/>
      <c r="M28" s="79">
        <f t="shared" si="7"/>
        <v>1</v>
      </c>
      <c r="N28" s="81">
        <v>1</v>
      </c>
      <c r="O28" s="83">
        <f t="shared" si="2"/>
        <v>1</v>
      </c>
      <c r="P28" s="98">
        <f>VLOOKUP(A28,'Потери рабочего времени'!$A$1:$H$100,8,FALSE)/60</f>
        <v>0</v>
      </c>
      <c r="Q28" s="99">
        <f>IF(A28=0,0,IF($P$2="+",(VLOOKUP(A28,'Потери рабочего времени'!$A$1:$H$30,8,FALSE))/60/VLOOKUP(A28,'2Рабочее время'!$A$1:$L$35,4),0))</f>
        <v>0</v>
      </c>
      <c r="R28" s="84"/>
      <c r="S28" s="13">
        <f>SUMIF('1Описание работ'!D:D,A28,'1Описание работ'!Y:Y)*(1+IF($I$2="+",I28,0)+IF($H$2="+",H28,0)+IF($J$2="+",K28,0)+Q28)*O28*M28</f>
        <v>0</v>
      </c>
      <c r="T28" s="15">
        <f t="shared" si="3"/>
        <v>0</v>
      </c>
      <c r="U28" s="13">
        <f>IF(S28=0,0,S28/VLOOKUP(A28,'2Рабочее время'!$A$1:$L$100,10,FALSE))*(1+(IF(AND($D$2="+",D28="+"),E28,0))+(IF(AND($F$2="+",F28="+"),G28,0))+(IF(AND($B$2="+",B28="+"),C28,0)))</f>
        <v>0</v>
      </c>
      <c r="V28" s="14">
        <f t="shared" si="8"/>
        <v>0</v>
      </c>
      <c r="W28" s="14">
        <f>IF(A28=0,0,VLOOKUP(A28,'Штатные должности'!$A:$C,2,FALSE))</f>
        <v>0</v>
      </c>
      <c r="X28" s="14">
        <f t="shared" si="9"/>
        <v>0</v>
      </c>
      <c r="Y28" s="32">
        <f>IF(A28=0,0,S28/(W28*VLOOKUP(A28,'2Рабочее время'!$A:$L,10,FALSE)))</f>
        <v>0</v>
      </c>
      <c r="Z28" s="32">
        <f>IF(S28&gt;0,(IF(A28=0,0,S28/(V28*VLOOKUP(A28,'2Рабочее время'!$A:$L,10,FALSE)))),0)</f>
        <v>0</v>
      </c>
      <c r="AA28" s="39">
        <f>IF(A28=0,0,U28*VLOOKUP(A28,'Штатные должности'!$A:$C,3,FALSE))</f>
        <v>0</v>
      </c>
      <c r="AB28" s="39">
        <f>IF(A28=0,0,V28*VLOOKUP(A28,'Штатные должности'!$A:$C,3,FALSE))</f>
        <v>0</v>
      </c>
      <c r="AC28" s="39">
        <f>IF(A28=0,0,W28*VLOOKUP(A28,'Штатные должности'!$A:$C,3,FALSE))</f>
        <v>0</v>
      </c>
      <c r="AD28" s="39">
        <f t="shared" si="10"/>
        <v>0</v>
      </c>
    </row>
    <row r="29" spans="1:30" s="3" customFormat="1" ht="18.75" x14ac:dyDescent="0.25">
      <c r="A29" s="100"/>
      <c r="B29" s="35" t="s">
        <v>37</v>
      </c>
      <c r="C29" s="36">
        <f>IF(A29=0,0,VLOOKUP(A29,'2Рабочее время'!$A$1:$K$100,7,FALSE)/365)</f>
        <v>0</v>
      </c>
      <c r="D29" s="35" t="s">
        <v>37</v>
      </c>
      <c r="E29" s="37">
        <f>IF(A29=0,0,VLOOKUP(A29,'2Рабочее время'!$A$1:$K$100,9,FALSE)/365)</f>
        <v>0</v>
      </c>
      <c r="F29" s="79" t="s">
        <v>37</v>
      </c>
      <c r="G29" s="80">
        <f>IF(A29=0,0,VLOOKUP(A29,'2Рабочее время'!$A$1:$K$100,8,FALSE)/365)</f>
        <v>0</v>
      </c>
      <c r="H29" s="81">
        <f>IF(A29=0,0,IF((IF((VLOOKUP(A29,'1Описание работ'!$D:$Y,15,FALSE)&gt;0),VLOOKUP(A29,'1Описание работ'!$D:$Y,15,FALSE),0))&gt;0,0.0001,0))</f>
        <v>0</v>
      </c>
      <c r="I29" s="88">
        <f>IF(A29=0,0,VLOOKUP(A29,'2Рабочее время'!$A$1:$L$100,12,FALSE))</f>
        <v>0</v>
      </c>
      <c r="J29" s="82"/>
      <c r="K29" s="81">
        <f>IF(A29=0,0,J29/VLOOKUP(A29,'2Рабочее время'!$A:$L,4,FALSE))</f>
        <v>0</v>
      </c>
      <c r="L29" s="79"/>
      <c r="M29" s="79"/>
      <c r="N29" s="81">
        <v>1</v>
      </c>
      <c r="O29" s="83">
        <f t="shared" si="2"/>
        <v>1</v>
      </c>
      <c r="P29" s="98">
        <f>VLOOKUP(A29,'Потери рабочего времени'!$A$1:$H$100,8,FALSE)/60</f>
        <v>0</v>
      </c>
      <c r="Q29" s="99">
        <f>IF(A29=0,0,IF($P$2="+",(VLOOKUP(A29,'Потери рабочего времени'!$A$1:$H$30,8,FALSE))/60/VLOOKUP(A29,'2Рабочее время'!$A$1:$L$35,4),0))</f>
        <v>0</v>
      </c>
      <c r="R29" s="84"/>
      <c r="S29" s="13">
        <f>SUMIF('1Описание работ'!D:D,A29,'1Описание работ'!Y:Y)*(1+IF($I$2="+",I29,0)+IF($H$2="+",H29,0)+IF($J$2="+",K29,0)+Q29)*O29*M29</f>
        <v>0</v>
      </c>
      <c r="T29" s="15"/>
      <c r="U29" s="13">
        <f>IF(S29=0,0,S29/VLOOKUP(A29,'2Рабочее время'!$A$1:$L$100,10,FALSE))*(1+(IF(AND($D$2="+",D29="+"),E29,0))+(IF(AND($F$2="+",F29="+"),G29,0))+(IF(AND($B$2="+",B29="+"),C29,0)))</f>
        <v>0</v>
      </c>
      <c r="V29" s="14">
        <f t="shared" si="8"/>
        <v>0</v>
      </c>
      <c r="W29" s="14"/>
      <c r="X29" s="14">
        <f t="shared" si="9"/>
        <v>0</v>
      </c>
      <c r="Y29" s="32"/>
      <c r="Z29" s="32">
        <f>IF(S29&gt;0,(IF(A29=0,0,S29/(V29*VLOOKUP(A29,'2Рабочее время'!$A:$L,10,FALSE)))),0)</f>
        <v>0</v>
      </c>
      <c r="AA29" s="39"/>
      <c r="AB29" s="39"/>
      <c r="AC29" s="39"/>
      <c r="AD29" s="39"/>
    </row>
    <row r="30" spans="1:30" s="3" customFormat="1" ht="18.75" x14ac:dyDescent="0.25">
      <c r="A30" s="100"/>
      <c r="B30" s="35" t="s">
        <v>37</v>
      </c>
      <c r="C30" s="36">
        <f>IF(A30=0,0,VLOOKUP(A30,'2Рабочее время'!$A$1:$K$100,7,FALSE)/365)</f>
        <v>0</v>
      </c>
      <c r="D30" s="35" t="s">
        <v>37</v>
      </c>
      <c r="E30" s="37">
        <f>IF(A30=0,0,VLOOKUP(A30,'2Рабочее время'!$A$1:$K$100,9,FALSE)/365)</f>
        <v>0</v>
      </c>
      <c r="F30" s="79" t="s">
        <v>37</v>
      </c>
      <c r="G30" s="80">
        <f>IF(A30=0,0,VLOOKUP(A30,'2Рабочее время'!$A$1:$K$100,8,FALSE)/365)</f>
        <v>0</v>
      </c>
      <c r="H30" s="81">
        <f>IF(A30=0,0,IF((IF((VLOOKUP(A30,'1Описание работ'!$D:$Y,15,FALSE)&gt;0),VLOOKUP(A30,'1Описание работ'!$D:$Y,15,FALSE),0))&gt;0,0.0001,0))</f>
        <v>0</v>
      </c>
      <c r="I30" s="88">
        <f>IF(A30=0,0,VLOOKUP(A30,'2Рабочее время'!$A$1:$L$100,12,FALSE))</f>
        <v>0</v>
      </c>
      <c r="J30" s="82"/>
      <c r="K30" s="81">
        <f>IF(A30=0,0,J30/VLOOKUP(A30,'2Рабочее время'!$A:$L,4,FALSE))</f>
        <v>0</v>
      </c>
      <c r="L30" s="79"/>
      <c r="M30" s="79"/>
      <c r="N30" s="81">
        <v>1</v>
      </c>
      <c r="O30" s="83">
        <f t="shared" si="2"/>
        <v>1</v>
      </c>
      <c r="P30" s="98">
        <f>VLOOKUP(A30,'Потери рабочего времени'!$A$1:$H$100,8,FALSE)/60</f>
        <v>0</v>
      </c>
      <c r="Q30" s="99">
        <f>IF(A30=0,0,IF($P$2="+",(VLOOKUP(A30,'Потери рабочего времени'!$A$1:$H$30,8,FALSE))/60/VLOOKUP(A30,'2Рабочее время'!$A$1:$L$35,4),0))</f>
        <v>0</v>
      </c>
      <c r="R30" s="84"/>
      <c r="S30" s="13">
        <f>SUMIF('1Описание работ'!D:D,A30,'1Описание работ'!Y:Y)*(1+IF($I$2="+",I30,0)+IF($H$2="+",H30,0)+IF($J$2="+",K30,0)+Q30)*O30*M30</f>
        <v>0</v>
      </c>
      <c r="T30" s="15"/>
      <c r="U30" s="13">
        <f>IF(S30=0,0,S30/VLOOKUP(A30,'2Рабочее время'!$A$1:$L$100,10,FALSE))*(1+(IF(AND($D$2="+",D30="+"),E30,0))+(IF(AND($F$2="+",F30="+"),G30,0))+(IF(AND($B$2="+",B30="+"),C30,0)))</f>
        <v>0</v>
      </c>
      <c r="V30" s="14">
        <f t="shared" si="8"/>
        <v>0</v>
      </c>
      <c r="W30" s="14"/>
      <c r="X30" s="14">
        <f t="shared" si="9"/>
        <v>0</v>
      </c>
      <c r="Y30" s="32"/>
      <c r="Z30" s="32">
        <f>IF(S30&gt;0,(IF(A30=0,0,S30/(V30*VLOOKUP(A30,'2Рабочее время'!$A:$L,10,FALSE)))),0)</f>
        <v>0</v>
      </c>
      <c r="AA30" s="39"/>
      <c r="AB30" s="39"/>
      <c r="AC30" s="39"/>
      <c r="AD30" s="39"/>
    </row>
    <row r="31" spans="1:30" ht="18.75" x14ac:dyDescent="0.25">
      <c r="A31" s="100"/>
      <c r="B31" s="35" t="s">
        <v>37</v>
      </c>
      <c r="C31" s="36">
        <f>IF(A31=0,0,VLOOKUP(A31,'2Рабочее время'!$A$1:$K$100,7,FALSE)/365)</f>
        <v>0</v>
      </c>
      <c r="D31" s="35" t="s">
        <v>37</v>
      </c>
      <c r="E31" s="37">
        <f>IF(A31=0,0,VLOOKUP(A31,'2Рабочее время'!$A$1:$K$100,9,FALSE)/365)</f>
        <v>0</v>
      </c>
      <c r="F31" s="79" t="s">
        <v>37</v>
      </c>
      <c r="G31" s="80">
        <f>IF(A31=0,0,VLOOKUP(A31,'2Рабочее время'!$A$1:$K$100,8,FALSE)/365)</f>
        <v>0</v>
      </c>
      <c r="H31" s="81">
        <f>IF(A31=0,0,IF((IF((VLOOKUP(A31,'1Описание работ'!$D:$Y,15,FALSE)&gt;0),VLOOKUP(A31,'1Описание работ'!$D:$Y,15,FALSE),0))&gt;0,0.0001,0))</f>
        <v>0</v>
      </c>
      <c r="I31" s="88">
        <f>IF(A31=0,0,VLOOKUP(A31,'2Рабочее время'!$A$1:$L$100,12,FALSE))</f>
        <v>0</v>
      </c>
      <c r="J31" s="82"/>
      <c r="K31" s="81">
        <f>IF(A31=0,0,J31/VLOOKUP(A31,'2Рабочее время'!$A:$L,4,FALSE))</f>
        <v>0</v>
      </c>
      <c r="L31" s="79"/>
      <c r="M31" s="79"/>
      <c r="N31" s="81">
        <v>1</v>
      </c>
      <c r="O31" s="83">
        <f t="shared" si="2"/>
        <v>1</v>
      </c>
      <c r="P31" s="98">
        <f>VLOOKUP(A31,'Потери рабочего времени'!$A$1:$H$100,8,FALSE)/60</f>
        <v>0</v>
      </c>
      <c r="Q31" s="99">
        <f>IF(A31=0,0,IF($P$2="+",(VLOOKUP(A31,'Потери рабочего времени'!$A$1:$H$30,8,FALSE))/60/VLOOKUP(A31,'2Рабочее время'!$A$1:$L$35,4),0))</f>
        <v>0</v>
      </c>
      <c r="R31" s="84"/>
      <c r="S31" s="13">
        <f>SUMIF('1Описание работ'!D:D,A31,'1Описание работ'!Y:Y)*(1+IF($I$2="+",I31,0)+IF($H$2="+",H31,0)+IF($J$2="+",K31,0)+Q31)*O31*M31</f>
        <v>0</v>
      </c>
      <c r="T31" s="15"/>
      <c r="U31" s="13">
        <f>IF(S31=0,0,S31/VLOOKUP(A31,'2Рабочее время'!$A$1:$L$100,10,FALSE))*(1+(IF(AND($D$2="+",D31="+"),E31,0))+(IF(AND($F$2="+",F31="+"),G31,0))+(IF(AND($B$2="+",B31="+"),C31,0)))</f>
        <v>0</v>
      </c>
      <c r="V31" s="14">
        <f t="shared" si="8"/>
        <v>0</v>
      </c>
      <c r="W31" s="14"/>
      <c r="X31" s="14">
        <f t="shared" si="9"/>
        <v>0</v>
      </c>
      <c r="Y31" s="32"/>
      <c r="Z31" s="32">
        <f>IF(S31&gt;0,(IF(A31=0,0,S31/(V31*VLOOKUP(A31,'2Рабочее время'!$A:$L,10,FALSE)))),0)</f>
        <v>0</v>
      </c>
      <c r="AA31" s="39"/>
      <c r="AB31" s="39"/>
      <c r="AC31" s="39"/>
      <c r="AD31" s="39"/>
    </row>
    <row r="32" spans="1:30" ht="18.75" x14ac:dyDescent="0.25">
      <c r="A32" s="100"/>
      <c r="B32" s="35" t="s">
        <v>37</v>
      </c>
      <c r="C32" s="36">
        <f>IF(A32=0,0,VLOOKUP(A32,'2Рабочее время'!$A$1:$K$100,7,FALSE)/365)</f>
        <v>0</v>
      </c>
      <c r="D32" s="35" t="s">
        <v>37</v>
      </c>
      <c r="E32" s="37">
        <f>IF(A32=0,0,VLOOKUP(A32,'2Рабочее время'!$A$1:$K$100,9,FALSE)/365)</f>
        <v>0</v>
      </c>
      <c r="F32" s="79" t="s">
        <v>37</v>
      </c>
      <c r="G32" s="80">
        <f>IF(A32=0,0,VLOOKUP(A32,'2Рабочее время'!$A$1:$K$100,8,FALSE)/365)</f>
        <v>0</v>
      </c>
      <c r="H32" s="81">
        <f>IF(A32=0,0,IF((IF((VLOOKUP(A32,'1Описание работ'!$D:$Y,15,FALSE)&gt;0),VLOOKUP(A32,'1Описание работ'!$D:$Y,15,FALSE),0))&gt;0,0.0001,0))</f>
        <v>0</v>
      </c>
      <c r="I32" s="88">
        <f>IF(A32=0,0,VLOOKUP(A32,'2Рабочее время'!$A$1:$L$100,12,FALSE))</f>
        <v>0</v>
      </c>
      <c r="J32" s="82"/>
      <c r="K32" s="81">
        <f>IF(A32=0,0,J32/VLOOKUP(A32,'2Рабочее время'!$A:$L,4,FALSE))</f>
        <v>0</v>
      </c>
      <c r="L32" s="79"/>
      <c r="M32" s="79"/>
      <c r="N32" s="81">
        <v>1</v>
      </c>
      <c r="O32" s="83">
        <f t="shared" si="2"/>
        <v>1</v>
      </c>
      <c r="P32" s="98">
        <f>VLOOKUP(A32,'Потери рабочего времени'!$A$1:$H$100,8,FALSE)/60</f>
        <v>0</v>
      </c>
      <c r="Q32" s="99">
        <f>IF(A32=0,0,IF($P$2="+",(VLOOKUP(A32,'Потери рабочего времени'!$A$1:$H$30,8,FALSE))/60/VLOOKUP(A32,'2Рабочее время'!$A$1:$L$35,4),0))</f>
        <v>0</v>
      </c>
      <c r="R32" s="84"/>
      <c r="S32" s="13">
        <f>SUMIF('1Описание работ'!D:D,A32,'1Описание работ'!Y:Y)*(1+IF($I$2="+",I32,0)+IF($H$2="+",H32,0)+IF($J$2="+",K32,0)+Q32)*O32*M32</f>
        <v>0</v>
      </c>
      <c r="T32" s="15"/>
      <c r="U32" s="13">
        <f>IF(S32=0,0,S32/VLOOKUP(A32,'2Рабочее время'!$A$1:$L$100,10,FALSE))*(1+(IF(AND($D$2="+",D32="+"),E32,0))+(IF(AND($F$2="+",F32="+"),G32,0))+(IF(AND($B$2="+",B32="+"),C32,0)))</f>
        <v>0</v>
      </c>
      <c r="V32" s="14">
        <f t="shared" si="8"/>
        <v>0</v>
      </c>
      <c r="W32" s="14"/>
      <c r="X32" s="14">
        <f t="shared" si="9"/>
        <v>0</v>
      </c>
      <c r="Y32" s="32"/>
      <c r="Z32" s="32">
        <f>IF(S32&gt;0,(IF(A32=0,0,S32/(V32*VLOOKUP(A32,'2Рабочее время'!$A:$L,10,FALSE)))),0)</f>
        <v>0</v>
      </c>
      <c r="AA32" s="39"/>
      <c r="AB32" s="39"/>
      <c r="AC32" s="39"/>
      <c r="AD32" s="39"/>
    </row>
    <row r="33" spans="1:30" ht="18.75" x14ac:dyDescent="0.25">
      <c r="A33" s="100"/>
      <c r="B33" s="35" t="s">
        <v>37</v>
      </c>
      <c r="C33" s="36">
        <f>IF(A33=0,0,VLOOKUP(A33,'2Рабочее время'!$A$1:$K$100,7,FALSE)/365)</f>
        <v>0</v>
      </c>
      <c r="D33" s="35" t="s">
        <v>37</v>
      </c>
      <c r="E33" s="37">
        <f>IF(A33=0,0,VLOOKUP(A33,'2Рабочее время'!$A$1:$K$100,9,FALSE)/365)</f>
        <v>0</v>
      </c>
      <c r="F33" s="79" t="s">
        <v>37</v>
      </c>
      <c r="G33" s="80">
        <f>IF(A33=0,0,VLOOKUP(A33,'2Рабочее время'!$A$1:$K$100,8,FALSE)/365)</f>
        <v>0</v>
      </c>
      <c r="H33" s="81">
        <f>IF(A33=0,0,IF((IF((VLOOKUP(A33,'1Описание работ'!$D:$Y,15,FALSE)&gt;0),VLOOKUP(A33,'1Описание работ'!$D:$Y,15,FALSE),0))&gt;0,0.0001,0))</f>
        <v>0</v>
      </c>
      <c r="I33" s="88">
        <f>IF(A33=0,0,VLOOKUP(A33,'2Рабочее время'!$A$1:$L$100,12,FALSE))</f>
        <v>0</v>
      </c>
      <c r="J33" s="82"/>
      <c r="K33" s="81">
        <f>IF(A33=0,0,J33/VLOOKUP(A33,'2Рабочее время'!$A:$L,4,FALSE))</f>
        <v>0</v>
      </c>
      <c r="L33" s="79"/>
      <c r="M33" s="79"/>
      <c r="N33" s="81">
        <v>1</v>
      </c>
      <c r="O33" s="83">
        <f t="shared" si="2"/>
        <v>1</v>
      </c>
      <c r="P33" s="98">
        <f>VLOOKUP(A33,'Потери рабочего времени'!$A$1:$H$100,8,FALSE)/60</f>
        <v>0</v>
      </c>
      <c r="Q33" s="99">
        <f>IF(A33=0,0,IF($P$2="+",(VLOOKUP(A33,'Потери рабочего времени'!$A$1:$H$30,8,FALSE))/60/VLOOKUP(A33,'2Рабочее время'!$A$1:$L$35,4),0))</f>
        <v>0</v>
      </c>
      <c r="R33" s="84"/>
      <c r="S33" s="13">
        <f>SUMIF('1Описание работ'!D:D,A33,'1Описание работ'!Y:Y)*(1+IF($I$2="+",I33,0)+IF($H$2="+",H33,0)+IF($J$2="+",K33,0)+Q33)*O33*M33</f>
        <v>0</v>
      </c>
      <c r="T33" s="15"/>
      <c r="U33" s="13">
        <f>IF(S33=0,0,S33/VLOOKUP(A33,'2Рабочее время'!$A$1:$L$100,10,FALSE))*(1+(IF(AND($D$2="+",D33="+"),E33,0))+(IF(AND($F$2="+",F33="+"),G33,0))+(IF(AND($B$2="+",B33="+"),C33,0)))</f>
        <v>0</v>
      </c>
      <c r="V33" s="14">
        <f t="shared" si="8"/>
        <v>0</v>
      </c>
      <c r="W33" s="14"/>
      <c r="X33" s="14">
        <f t="shared" si="9"/>
        <v>0</v>
      </c>
      <c r="Y33" s="32"/>
      <c r="Z33" s="32">
        <f>IF(S33&gt;0,(IF(A33=0,0,S33/(V33*VLOOKUP(A33,'2Рабочее время'!$A:$L,10,FALSE)))),0)</f>
        <v>0</v>
      </c>
      <c r="AA33" s="39"/>
      <c r="AB33" s="39"/>
      <c r="AC33" s="39"/>
      <c r="AD33" s="39"/>
    </row>
    <row r="34" spans="1:30" ht="18.75" x14ac:dyDescent="0.25">
      <c r="A34" s="100"/>
      <c r="B34" s="35" t="s">
        <v>37</v>
      </c>
      <c r="C34" s="36">
        <f>IF(A34=0,0,VLOOKUP(A34,'2Рабочее время'!$A$1:$K$100,7,FALSE)/365)</f>
        <v>0</v>
      </c>
      <c r="D34" s="35" t="s">
        <v>37</v>
      </c>
      <c r="E34" s="37">
        <f>IF(A34=0,0,VLOOKUP(A34,'2Рабочее время'!$A$1:$K$100,9,FALSE)/365)</f>
        <v>0</v>
      </c>
      <c r="F34" s="79" t="s">
        <v>37</v>
      </c>
      <c r="G34" s="80">
        <f>IF(A34=0,0,VLOOKUP(A34,'2Рабочее время'!$A$1:$K$100,8,FALSE)/365)</f>
        <v>0</v>
      </c>
      <c r="H34" s="81">
        <f>IF(A34=0,0,IF((IF((VLOOKUP(A34,'1Описание работ'!$D:$Y,15,FALSE)&gt;0),VLOOKUP(A34,'1Описание работ'!$D:$Y,15,FALSE),0))&gt;0,0.0001,0))</f>
        <v>0</v>
      </c>
      <c r="I34" s="88">
        <f>IF(A34=0,0,VLOOKUP(A34,'2Рабочее время'!$A$1:$L$100,12,FALSE))</f>
        <v>0</v>
      </c>
      <c r="J34" s="82"/>
      <c r="K34" s="81">
        <f>IF(A34=0,0,J34/VLOOKUP(A34,'2Рабочее время'!$A:$L,4,FALSE))</f>
        <v>0</v>
      </c>
      <c r="L34" s="79"/>
      <c r="M34" s="79"/>
      <c r="N34" s="81">
        <v>1</v>
      </c>
      <c r="O34" s="83">
        <f t="shared" si="2"/>
        <v>1</v>
      </c>
      <c r="P34" s="98">
        <f>VLOOKUP(A34,'Потери рабочего времени'!$A$1:$H$100,8,FALSE)/60</f>
        <v>0</v>
      </c>
      <c r="Q34" s="99">
        <f>IF(A34=0,0,IF($P$2="+",(VLOOKUP(A34,'Потери рабочего времени'!$A$1:$H$30,8,FALSE))/60/VLOOKUP(A34,'2Рабочее время'!$A$1:$L$35,4),0))</f>
        <v>0</v>
      </c>
      <c r="R34" s="84"/>
      <c r="S34" s="13">
        <f>SUMIF('1Описание работ'!D:D,A34,'1Описание работ'!Y:Y)*(1+IF($I$2="+",I34,0)+IF($H$2="+",H34,0)+IF($J$2="+",K34,0)+Q34)*O34*M34</f>
        <v>0</v>
      </c>
      <c r="T34" s="15"/>
      <c r="U34" s="13">
        <f>IF(S34=0,0,S34/VLOOKUP(A34,'2Рабочее время'!$A$1:$L$100,10,FALSE))*(1+(IF(AND($D$2="+",D34="+"),E34,0))+(IF(AND($F$2="+",F34="+"),G34,0))+(IF(AND($B$2="+",B34="+"),C34,0)))</f>
        <v>0</v>
      </c>
      <c r="V34" s="14">
        <f t="shared" si="8"/>
        <v>0</v>
      </c>
      <c r="W34" s="14"/>
      <c r="X34" s="14">
        <f t="shared" si="9"/>
        <v>0</v>
      </c>
      <c r="Y34" s="32"/>
      <c r="Z34" s="32">
        <f>IF(S34&gt;0,(IF(A34=0,0,S34/(V34*VLOOKUP(A34,'2Рабочее время'!$A:$L,10,FALSE)))),0)</f>
        <v>0</v>
      </c>
      <c r="AA34" s="39"/>
      <c r="AB34" s="39"/>
      <c r="AC34" s="39"/>
      <c r="AD34" s="39"/>
    </row>
    <row r="35" spans="1:30" ht="18.75" x14ac:dyDescent="0.25">
      <c r="A35" s="100"/>
      <c r="B35" s="35" t="s">
        <v>37</v>
      </c>
      <c r="C35" s="36">
        <f>IF(A35=0,0,VLOOKUP(A35,'2Рабочее время'!$A$1:$K$100,7,FALSE)/365)</f>
        <v>0</v>
      </c>
      <c r="D35" s="35" t="s">
        <v>37</v>
      </c>
      <c r="E35" s="37">
        <f>IF(A35=0,0,VLOOKUP(A35,'2Рабочее время'!$A$1:$K$100,9,FALSE)/365)</f>
        <v>0</v>
      </c>
      <c r="F35" s="79" t="s">
        <v>37</v>
      </c>
      <c r="G35" s="80">
        <f>IF(A35=0,0,VLOOKUP(A35,'2Рабочее время'!$A$1:$K$100,8,FALSE)/365)</f>
        <v>0</v>
      </c>
      <c r="H35" s="81">
        <f>IF(A35=0,0,IF((IF((VLOOKUP(A35,'1Описание работ'!$D:$Y,15,FALSE)&gt;0),VLOOKUP(A35,'1Описание работ'!$D:$Y,15,FALSE),0))&gt;0,0.0001,0))</f>
        <v>0</v>
      </c>
      <c r="I35" s="88">
        <f>IF(A35=0,0,VLOOKUP(A35,'2Рабочее время'!$A$1:$L$100,12,FALSE))</f>
        <v>0</v>
      </c>
      <c r="J35" s="82"/>
      <c r="K35" s="81">
        <f>IF(A35=0,0,J35/VLOOKUP(A35,'2Рабочее время'!$A:$L,4,FALSE))</f>
        <v>0</v>
      </c>
      <c r="L35" s="79"/>
      <c r="M35" s="79"/>
      <c r="N35" s="81">
        <v>1</v>
      </c>
      <c r="O35" s="83">
        <f t="shared" si="2"/>
        <v>1</v>
      </c>
      <c r="P35" s="98">
        <f>VLOOKUP(A35,'Потери рабочего времени'!$A$1:$H$100,8,FALSE)/60</f>
        <v>0</v>
      </c>
      <c r="Q35" s="99">
        <f>IF(A35=0,0,IF($P$2="+",(VLOOKUP(A35,'Потери рабочего времени'!$A$1:$H$30,8,FALSE))/60/VLOOKUP(A35,'2Рабочее время'!$A$1:$L$35,4),0))</f>
        <v>0</v>
      </c>
      <c r="R35" s="84"/>
      <c r="S35" s="13">
        <f>SUMIF('1Описание работ'!D:D,A35,'1Описание работ'!Y:Y)*(1+IF($I$2="+",I35,0)+IF($H$2="+",H35,0)+IF($J$2="+",K35,0)+Q35)*O35*M35</f>
        <v>0</v>
      </c>
      <c r="T35" s="15"/>
      <c r="U35" s="13">
        <f>IF(S35=0,0,S35/VLOOKUP(A35,'2Рабочее время'!$A$1:$L$100,10,FALSE))*(1+(IF(AND($D$2="+",D35="+"),E35,0))+(IF(AND($F$2="+",F35="+"),G35,0))+(IF(AND($B$2="+",B35="+"),C35,0)))</f>
        <v>0</v>
      </c>
      <c r="V35" s="14">
        <f t="shared" si="8"/>
        <v>0</v>
      </c>
      <c r="W35" s="14"/>
      <c r="X35" s="14">
        <f t="shared" si="9"/>
        <v>0</v>
      </c>
      <c r="Y35" s="32"/>
      <c r="Z35" s="32">
        <f>IF(S35&gt;0,(IF(A35=0,0,S35/(V35*VLOOKUP(A35,'2Рабочее время'!$A:$L,10,FALSE)))),0)</f>
        <v>0</v>
      </c>
      <c r="AA35" s="39"/>
      <c r="AB35" s="39"/>
      <c r="AC35" s="39"/>
      <c r="AD35" s="39"/>
    </row>
    <row r="36" spans="1:30" x14ac:dyDescent="0.25">
      <c r="M36" s="44"/>
      <c r="N36" s="44"/>
      <c r="O36" s="44"/>
      <c r="P36" s="44"/>
      <c r="Q36" s="44"/>
      <c r="R36" s="44"/>
      <c r="S36" s="44"/>
      <c r="T36" s="44"/>
    </row>
  </sheetData>
  <sheetProtection sheet="1" objects="1" scenarios="1" selectLockedCells="1"/>
  <conditionalFormatting sqref="S4:V35">
    <cfRule type="cellIs" dxfId="55" priority="62" operator="equal">
      <formula>0</formula>
    </cfRule>
    <cfRule type="expression" dxfId="54" priority="63">
      <formula>0</formula>
    </cfRule>
  </conditionalFormatting>
  <conditionalFormatting sqref="S4:S35">
    <cfRule type="cellIs" dxfId="53" priority="60" operator="equal">
      <formula>0</formula>
    </cfRule>
    <cfRule type="expression" dxfId="52" priority="61">
      <formula>0</formula>
    </cfRule>
  </conditionalFormatting>
  <conditionalFormatting sqref="X4:Z35">
    <cfRule type="cellIs" dxfId="51" priority="58" operator="equal">
      <formula>0</formula>
    </cfRule>
    <cfRule type="expression" dxfId="50" priority="59">
      <formula>0</formula>
    </cfRule>
  </conditionalFormatting>
  <conditionalFormatting sqref="X4:Z35">
    <cfRule type="cellIs" dxfId="49" priority="56" operator="equal">
      <formula>0</formula>
    </cfRule>
    <cfRule type="expression" dxfId="48" priority="57">
      <formula>0</formula>
    </cfRule>
  </conditionalFormatting>
  <conditionalFormatting sqref="Z8:Z35">
    <cfRule type="cellIs" dxfId="47" priority="46" operator="equal">
      <formula>0</formula>
    </cfRule>
    <cfRule type="expression" dxfId="46" priority="47">
      <formula>0</formula>
    </cfRule>
  </conditionalFormatting>
  <conditionalFormatting sqref="Z8:Z35">
    <cfRule type="cellIs" dxfId="45" priority="44" operator="equal">
      <formula>0</formula>
    </cfRule>
    <cfRule type="expression" dxfId="44" priority="45">
      <formula>0</formula>
    </cfRule>
  </conditionalFormatting>
  <conditionalFormatting sqref="Z4:Z35">
    <cfRule type="cellIs" dxfId="43" priority="33" operator="between">
      <formula>0.001</formula>
      <formula>0.69</formula>
    </cfRule>
    <cfRule type="cellIs" dxfId="42" priority="34" operator="between">
      <formula>0.7</formula>
      <formula>0.8</formula>
    </cfRule>
    <cfRule type="cellIs" dxfId="41" priority="35" operator="greaterThan">
      <formula>0.8</formula>
    </cfRule>
  </conditionalFormatting>
  <conditionalFormatting sqref="B4:R35">
    <cfRule type="cellIs" dxfId="40" priority="32" operator="equal">
      <formula>0</formula>
    </cfRule>
  </conditionalFormatting>
  <conditionalFormatting sqref="AA4:AD35">
    <cfRule type="cellIs" dxfId="39" priority="30" operator="equal">
      <formula>0</formula>
    </cfRule>
    <cfRule type="expression" dxfId="38" priority="31">
      <formula>0</formula>
    </cfRule>
  </conditionalFormatting>
  <conditionalFormatting sqref="AA4:AD35">
    <cfRule type="cellIs" dxfId="37" priority="28" operator="equal">
      <formula>0</formula>
    </cfRule>
    <cfRule type="expression" dxfId="36" priority="29">
      <formula>0</formula>
    </cfRule>
  </conditionalFormatting>
  <conditionalFormatting sqref="O37:O1048576 N29:O35 N4:N35 O2:O35">
    <cfRule type="cellIs" dxfId="35" priority="27" operator="equal">
      <formula>1</formula>
    </cfRule>
  </conditionalFormatting>
  <conditionalFormatting sqref="B2">
    <cfRule type="cellIs" dxfId="34" priority="26" operator="equal">
      <formula>0</formula>
    </cfRule>
  </conditionalFormatting>
  <conditionalFormatting sqref="D2">
    <cfRule type="cellIs" dxfId="33" priority="25" operator="equal">
      <formula>0</formula>
    </cfRule>
  </conditionalFormatting>
  <conditionalFormatting sqref="F2">
    <cfRule type="cellIs" dxfId="32" priority="24" operator="equal">
      <formula>0</formula>
    </cfRule>
  </conditionalFormatting>
  <conditionalFormatting sqref="H2">
    <cfRule type="cellIs" dxfId="31" priority="23" operator="equal">
      <formula>0</formula>
    </cfRule>
  </conditionalFormatting>
  <conditionalFormatting sqref="I2">
    <cfRule type="cellIs" dxfId="30" priority="22" operator="equal">
      <formula>0</formula>
    </cfRule>
  </conditionalFormatting>
  <conditionalFormatting sqref="J2">
    <cfRule type="cellIs" dxfId="29" priority="21" operator="equal">
      <formula>0</formula>
    </cfRule>
  </conditionalFormatting>
  <conditionalFormatting sqref="L2">
    <cfRule type="cellIs" dxfId="28" priority="20" operator="equal">
      <formula>0</formula>
    </cfRule>
  </conditionalFormatting>
  <conditionalFormatting sqref="N2">
    <cfRule type="cellIs" dxfId="27" priority="19" operator="equal">
      <formula>0</formula>
    </cfRule>
  </conditionalFormatting>
  <conditionalFormatting sqref="P2">
    <cfRule type="cellIs" dxfId="26" priority="9" operator="equal">
      <formula>"-"</formula>
    </cfRule>
    <cfRule type="cellIs" dxfId="25" priority="10" operator="equal">
      <formula>"+"</formula>
    </cfRule>
    <cfRule type="cellIs" dxfId="24" priority="17" operator="equal">
      <formula>0</formula>
    </cfRule>
  </conditionalFormatting>
  <conditionalFormatting sqref="M4:M35">
    <cfRule type="cellIs" dxfId="23" priority="15" operator="equal">
      <formula>1</formula>
    </cfRule>
  </conditionalFormatting>
  <conditionalFormatting sqref="W4:W35">
    <cfRule type="cellIs" dxfId="22" priority="13" operator="equal">
      <formula>0</formula>
    </cfRule>
    <cfRule type="expression" dxfId="21" priority="14">
      <formula>0</formula>
    </cfRule>
  </conditionalFormatting>
  <conditionalFormatting sqref="L2:O2 B2:J2 B37:O1048576 B36:T36 B3:O35">
    <cfRule type="cellIs" dxfId="20" priority="11" operator="equal">
      <formula>"-"</formula>
    </cfRule>
    <cfRule type="cellIs" dxfId="19" priority="12" operator="equal">
      <formula>"+"</formula>
    </cfRule>
  </conditionalFormatting>
  <conditionalFormatting sqref="T4:T35">
    <cfRule type="cellIs" dxfId="18" priority="8" operator="equal">
      <formula>1</formula>
    </cfRule>
  </conditionalFormatting>
  <conditionalFormatting sqref="A4:A51">
    <cfRule type="cellIs" dxfId="17" priority="7" operator="equal">
      <formula>0</formula>
    </cfRule>
  </conditionalFormatting>
  <conditionalFormatting sqref="H1:H1048576">
    <cfRule type="cellIs" dxfId="16" priority="6" operator="equal">
      <formula>0.0001</formula>
    </cfRule>
  </conditionalFormatting>
  <conditionalFormatting sqref="H4:H35">
    <cfRule type="expression" dxfId="15" priority="3">
      <formula>ISERROR($H$11)</formula>
    </cfRule>
  </conditionalFormatting>
  <conditionalFormatting sqref="S4:AD35">
    <cfRule type="expression" dxfId="14" priority="2">
      <formula>ISERROR(11)</formula>
    </cfRule>
  </conditionalFormatting>
  <conditionalFormatting sqref="H4:H35">
    <cfRule type="expression" dxfId="13" priority="1">
      <formula>ISERROR($H$11)</formula>
    </cfRule>
  </conditionalFormatting>
  <dataValidations count="1">
    <dataValidation showDropDown="1" showInputMessage="1" showErrorMessage="1" sqref="E4:E35 G4:Q35 C4:C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'Штатные должности'!$A$1:$A$100</xm:f>
          </x14:formula1>
          <xm:sqref>A4:A35</xm:sqref>
        </x14:dataValidation>
        <x14:dataValidation type="list" allowBlank="1" showInputMessage="1" showErrorMessage="1">
          <x14:formula1>
            <xm:f>Лист3!$A$1:$A$2</xm:f>
          </x14:formula1>
          <xm:sqref>B2 D2 F2 N2 P2 L2 H2:J2 D4:D35 B4:B35 F4:F35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workbookViewId="0">
      <selection activeCell="G5" sqref="G5"/>
    </sheetView>
  </sheetViews>
  <sheetFormatPr defaultRowHeight="15" x14ac:dyDescent="0.25"/>
  <cols>
    <col min="1" max="1" width="47.85546875" style="62" customWidth="1"/>
    <col min="2" max="2" width="12" style="44" customWidth="1"/>
    <col min="3" max="3" width="12.5703125" style="44" customWidth="1"/>
    <col min="4" max="4" width="14.42578125" style="44" customWidth="1"/>
    <col min="5" max="5" width="14.140625" style="44" customWidth="1"/>
    <col min="6" max="7" width="15.5703125" style="44" customWidth="1"/>
    <col min="8" max="8" width="8" style="44" bestFit="1" customWidth="1"/>
    <col min="9" max="28" width="9.140625" style="44"/>
  </cols>
  <sheetData>
    <row r="1" spans="1:8" ht="45.75" customHeight="1" x14ac:dyDescent="0.25">
      <c r="A1" s="69" t="s">
        <v>164</v>
      </c>
      <c r="B1" s="68" t="s">
        <v>51</v>
      </c>
      <c r="C1" s="68" t="s">
        <v>52</v>
      </c>
      <c r="D1" s="68" t="s">
        <v>53</v>
      </c>
      <c r="E1" s="68" t="s">
        <v>54</v>
      </c>
      <c r="F1" s="68" t="s">
        <v>55</v>
      </c>
      <c r="G1" s="68" t="s">
        <v>56</v>
      </c>
      <c r="H1" s="31" t="s">
        <v>29</v>
      </c>
    </row>
    <row r="2" spans="1:8" ht="15.75" x14ac:dyDescent="0.25">
      <c r="A2" s="66" t="str">
        <f>'2Рабочее время'!A2</f>
        <v>Директор по персоналу</v>
      </c>
      <c r="B2" s="17"/>
      <c r="C2" s="17">
        <v>10</v>
      </c>
      <c r="D2" s="17"/>
      <c r="E2" s="17">
        <v>15</v>
      </c>
      <c r="F2" s="17">
        <v>15</v>
      </c>
      <c r="G2" s="17">
        <v>5</v>
      </c>
      <c r="H2" s="64">
        <f t="shared" ref="H2:H30" si="0">SUM(B2:G2)</f>
        <v>45</v>
      </c>
    </row>
    <row r="3" spans="1:8" ht="15.75" x14ac:dyDescent="0.25">
      <c r="A3" s="66" t="str">
        <f>'2Рабочее время'!A3</f>
        <v>Экономист по труду и заработной плате</v>
      </c>
      <c r="B3" s="17">
        <v>10</v>
      </c>
      <c r="C3" s="17"/>
      <c r="D3" s="17">
        <v>3</v>
      </c>
      <c r="E3" s="17">
        <v>15</v>
      </c>
      <c r="F3" s="17">
        <v>15</v>
      </c>
      <c r="G3" s="17">
        <v>5</v>
      </c>
      <c r="H3" s="64">
        <f t="shared" si="0"/>
        <v>48</v>
      </c>
    </row>
    <row r="4" spans="1:8" ht="15.75" x14ac:dyDescent="0.25">
      <c r="A4" s="66" t="str">
        <f>'2Рабочее время'!A4</f>
        <v>Инспектор отдела кадров</v>
      </c>
      <c r="B4" s="17">
        <v>10</v>
      </c>
      <c r="C4" s="17">
        <v>10</v>
      </c>
      <c r="D4" s="17">
        <v>3</v>
      </c>
      <c r="E4" s="17"/>
      <c r="F4" s="17">
        <v>15</v>
      </c>
      <c r="G4" s="17">
        <v>5</v>
      </c>
      <c r="H4" s="64">
        <f t="shared" si="0"/>
        <v>43</v>
      </c>
    </row>
    <row r="5" spans="1:8" ht="15.75" x14ac:dyDescent="0.25">
      <c r="A5" s="66" t="str">
        <f>'2Рабочее время'!A5</f>
        <v>Специалист по обучению</v>
      </c>
      <c r="B5" s="17"/>
      <c r="C5" s="17"/>
      <c r="D5" s="17">
        <v>3</v>
      </c>
      <c r="E5" s="17">
        <v>15</v>
      </c>
      <c r="F5" s="17">
        <v>15</v>
      </c>
      <c r="G5" s="17">
        <v>5</v>
      </c>
      <c r="H5" s="64">
        <f t="shared" si="0"/>
        <v>38</v>
      </c>
    </row>
    <row r="6" spans="1:8" ht="15.75" x14ac:dyDescent="0.25">
      <c r="A6" s="66" t="str">
        <f>'2Рабочее время'!A6</f>
        <v>Специалист по подбору персонала</v>
      </c>
      <c r="B6" s="17">
        <v>10</v>
      </c>
      <c r="C6" s="17">
        <v>10</v>
      </c>
      <c r="D6" s="17">
        <v>3</v>
      </c>
      <c r="E6" s="17">
        <v>15</v>
      </c>
      <c r="F6" s="17">
        <v>15</v>
      </c>
      <c r="G6" s="17">
        <v>5</v>
      </c>
      <c r="H6" s="64">
        <f t="shared" si="0"/>
        <v>58</v>
      </c>
    </row>
    <row r="7" spans="1:8" ht="15.75" x14ac:dyDescent="0.25">
      <c r="A7" s="66">
        <f>'2Рабочее время'!A7</f>
        <v>0</v>
      </c>
      <c r="B7" s="17"/>
      <c r="C7" s="17"/>
      <c r="D7" s="17"/>
      <c r="E7" s="17"/>
      <c r="F7" s="17"/>
      <c r="G7" s="17"/>
      <c r="H7" s="64">
        <f t="shared" si="0"/>
        <v>0</v>
      </c>
    </row>
    <row r="8" spans="1:8" ht="15.75" x14ac:dyDescent="0.25">
      <c r="A8" s="66">
        <f>'2Рабочее время'!A8</f>
        <v>0</v>
      </c>
      <c r="B8" s="17"/>
      <c r="C8" s="17"/>
      <c r="D8" s="17"/>
      <c r="E8" s="17"/>
      <c r="F8" s="17"/>
      <c r="G8" s="17"/>
      <c r="H8" s="64">
        <f t="shared" si="0"/>
        <v>0</v>
      </c>
    </row>
    <row r="9" spans="1:8" ht="15.75" x14ac:dyDescent="0.25">
      <c r="A9" s="70">
        <f>'2Рабочее время'!A9</f>
        <v>0</v>
      </c>
      <c r="B9" s="17"/>
      <c r="C9" s="17"/>
      <c r="D9" s="17"/>
      <c r="E9" s="17"/>
      <c r="F9" s="17"/>
      <c r="G9" s="17"/>
      <c r="H9" s="64">
        <f t="shared" si="0"/>
        <v>0</v>
      </c>
    </row>
    <row r="10" spans="1:8" ht="15.75" x14ac:dyDescent="0.25">
      <c r="A10" s="70">
        <f>'2Рабочее время'!A10</f>
        <v>0</v>
      </c>
      <c r="B10" s="17"/>
      <c r="C10" s="17"/>
      <c r="D10" s="17"/>
      <c r="E10" s="17"/>
      <c r="F10" s="17"/>
      <c r="G10" s="17"/>
      <c r="H10" s="64">
        <f t="shared" si="0"/>
        <v>0</v>
      </c>
    </row>
    <row r="11" spans="1:8" ht="15.75" x14ac:dyDescent="0.25">
      <c r="A11" s="70">
        <f>'2Рабочее время'!A11</f>
        <v>0</v>
      </c>
      <c r="B11" s="17"/>
      <c r="C11" s="17"/>
      <c r="D11" s="17"/>
      <c r="E11" s="17"/>
      <c r="F11" s="17"/>
      <c r="G11" s="17"/>
      <c r="H11" s="64">
        <f t="shared" si="0"/>
        <v>0</v>
      </c>
    </row>
    <row r="12" spans="1:8" ht="15.75" x14ac:dyDescent="0.25">
      <c r="A12" s="70">
        <f>'2Рабочее время'!A12</f>
        <v>0</v>
      </c>
      <c r="B12" s="17"/>
      <c r="C12" s="17"/>
      <c r="D12" s="17"/>
      <c r="E12" s="17"/>
      <c r="F12" s="17"/>
      <c r="G12" s="17"/>
      <c r="H12" s="64">
        <f t="shared" si="0"/>
        <v>0</v>
      </c>
    </row>
    <row r="13" spans="1:8" ht="15.75" x14ac:dyDescent="0.25">
      <c r="A13" s="70">
        <f>'2Рабочее время'!A13</f>
        <v>0</v>
      </c>
      <c r="B13" s="17"/>
      <c r="C13" s="17"/>
      <c r="D13" s="17"/>
      <c r="E13" s="17"/>
      <c r="F13" s="17"/>
      <c r="G13" s="17"/>
      <c r="H13" s="64">
        <f t="shared" si="0"/>
        <v>0</v>
      </c>
    </row>
    <row r="14" spans="1:8" ht="15.75" x14ac:dyDescent="0.25">
      <c r="A14" s="70">
        <f>'2Рабочее время'!A14</f>
        <v>0</v>
      </c>
      <c r="B14" s="17"/>
      <c r="C14" s="17"/>
      <c r="D14" s="17"/>
      <c r="E14" s="17"/>
      <c r="F14" s="17"/>
      <c r="G14" s="17"/>
      <c r="H14" s="64">
        <f t="shared" si="0"/>
        <v>0</v>
      </c>
    </row>
    <row r="15" spans="1:8" ht="15.75" x14ac:dyDescent="0.25">
      <c r="A15" s="70">
        <f>'2Рабочее время'!A15</f>
        <v>0</v>
      </c>
      <c r="B15" s="17"/>
      <c r="C15" s="17"/>
      <c r="D15" s="17"/>
      <c r="E15" s="17"/>
      <c r="F15" s="17"/>
      <c r="G15" s="17"/>
      <c r="H15" s="64">
        <f t="shared" si="0"/>
        <v>0</v>
      </c>
    </row>
    <row r="16" spans="1:8" ht="15.75" x14ac:dyDescent="0.25">
      <c r="A16" s="70">
        <f>'2Рабочее время'!A16</f>
        <v>0</v>
      </c>
      <c r="B16" s="17"/>
      <c r="C16" s="17"/>
      <c r="D16" s="17"/>
      <c r="E16" s="17"/>
      <c r="F16" s="17"/>
      <c r="G16" s="17"/>
      <c r="H16" s="64">
        <f t="shared" si="0"/>
        <v>0</v>
      </c>
    </row>
    <row r="17" spans="1:8" ht="15.75" x14ac:dyDescent="0.25">
      <c r="A17" s="70">
        <f>'2Рабочее время'!A17</f>
        <v>0</v>
      </c>
      <c r="B17" s="17"/>
      <c r="C17" s="17"/>
      <c r="D17" s="17"/>
      <c r="E17" s="17"/>
      <c r="F17" s="17"/>
      <c r="G17" s="17"/>
      <c r="H17" s="64">
        <f t="shared" si="0"/>
        <v>0</v>
      </c>
    </row>
    <row r="18" spans="1:8" ht="15.75" x14ac:dyDescent="0.25">
      <c r="A18" s="70">
        <f>'2Рабочее время'!A18</f>
        <v>0</v>
      </c>
      <c r="B18" s="17"/>
      <c r="C18" s="17"/>
      <c r="D18" s="17"/>
      <c r="E18" s="17"/>
      <c r="F18" s="17"/>
      <c r="G18" s="17"/>
      <c r="H18" s="64">
        <f t="shared" si="0"/>
        <v>0</v>
      </c>
    </row>
    <row r="19" spans="1:8" ht="15.75" x14ac:dyDescent="0.25">
      <c r="A19" s="70">
        <f>'2Рабочее время'!A19</f>
        <v>0</v>
      </c>
      <c r="B19" s="17"/>
      <c r="C19" s="17"/>
      <c r="D19" s="17"/>
      <c r="E19" s="17"/>
      <c r="F19" s="17"/>
      <c r="G19" s="17"/>
      <c r="H19" s="64">
        <f t="shared" si="0"/>
        <v>0</v>
      </c>
    </row>
    <row r="20" spans="1:8" ht="15.75" x14ac:dyDescent="0.25">
      <c r="A20" s="70">
        <f>'2Рабочее время'!A20</f>
        <v>0</v>
      </c>
      <c r="B20" s="17"/>
      <c r="C20" s="17"/>
      <c r="D20" s="17"/>
      <c r="E20" s="17"/>
      <c r="F20" s="17"/>
      <c r="G20" s="17"/>
      <c r="H20" s="64">
        <f t="shared" si="0"/>
        <v>0</v>
      </c>
    </row>
    <row r="21" spans="1:8" ht="15.75" x14ac:dyDescent="0.25">
      <c r="A21" s="70">
        <f>'2Рабочее время'!A21</f>
        <v>0</v>
      </c>
      <c r="B21" s="17"/>
      <c r="C21" s="17"/>
      <c r="D21" s="17"/>
      <c r="E21" s="17"/>
      <c r="F21" s="17"/>
      <c r="G21" s="17"/>
      <c r="H21" s="64">
        <f t="shared" si="0"/>
        <v>0</v>
      </c>
    </row>
    <row r="22" spans="1:8" ht="15.75" x14ac:dyDescent="0.25">
      <c r="A22" s="70">
        <f>'2Рабочее время'!A22</f>
        <v>0</v>
      </c>
      <c r="B22" s="17"/>
      <c r="C22" s="17"/>
      <c r="D22" s="17"/>
      <c r="E22" s="17"/>
      <c r="F22" s="17"/>
      <c r="G22" s="17"/>
      <c r="H22" s="64">
        <f t="shared" si="0"/>
        <v>0</v>
      </c>
    </row>
    <row r="23" spans="1:8" ht="15.75" x14ac:dyDescent="0.25">
      <c r="A23" s="70">
        <f>'2Рабочее время'!A23</f>
        <v>0</v>
      </c>
      <c r="B23" s="17"/>
      <c r="C23" s="17"/>
      <c r="D23" s="17"/>
      <c r="E23" s="17"/>
      <c r="F23" s="17"/>
      <c r="G23" s="17"/>
      <c r="H23" s="64">
        <f t="shared" si="0"/>
        <v>0</v>
      </c>
    </row>
    <row r="24" spans="1:8" ht="15.75" x14ac:dyDescent="0.25">
      <c r="A24" s="70">
        <f>'2Рабочее время'!A24</f>
        <v>0</v>
      </c>
      <c r="B24" s="17"/>
      <c r="C24" s="17"/>
      <c r="D24" s="17"/>
      <c r="E24" s="17"/>
      <c r="F24" s="17"/>
      <c r="G24" s="17"/>
      <c r="H24" s="64">
        <f t="shared" si="0"/>
        <v>0</v>
      </c>
    </row>
    <row r="25" spans="1:8" ht="15.75" x14ac:dyDescent="0.25">
      <c r="A25" s="70">
        <f>'2Рабочее время'!A25</f>
        <v>0</v>
      </c>
      <c r="B25" s="17"/>
      <c r="C25" s="17"/>
      <c r="D25" s="17"/>
      <c r="E25" s="17"/>
      <c r="F25" s="17"/>
      <c r="G25" s="17"/>
      <c r="H25" s="64">
        <f t="shared" si="0"/>
        <v>0</v>
      </c>
    </row>
    <row r="26" spans="1:8" ht="15.75" x14ac:dyDescent="0.25">
      <c r="A26" s="70">
        <f>'2Рабочее время'!A26</f>
        <v>0</v>
      </c>
      <c r="B26" s="17"/>
      <c r="C26" s="17"/>
      <c r="D26" s="17"/>
      <c r="E26" s="17"/>
      <c r="F26" s="17"/>
      <c r="G26" s="17"/>
      <c r="H26" s="64">
        <f t="shared" si="0"/>
        <v>0</v>
      </c>
    </row>
    <row r="27" spans="1:8" ht="15.75" x14ac:dyDescent="0.25">
      <c r="A27" s="70">
        <f>'2Рабочее время'!A27</f>
        <v>0</v>
      </c>
      <c r="B27" s="17"/>
      <c r="C27" s="17"/>
      <c r="D27" s="17"/>
      <c r="E27" s="17"/>
      <c r="F27" s="17"/>
      <c r="G27" s="17"/>
      <c r="H27" s="64">
        <f t="shared" si="0"/>
        <v>0</v>
      </c>
    </row>
    <row r="28" spans="1:8" ht="15.75" x14ac:dyDescent="0.25">
      <c r="A28" s="70">
        <f>'2Рабочее время'!A28</f>
        <v>0</v>
      </c>
      <c r="B28" s="17"/>
      <c r="C28" s="17"/>
      <c r="D28" s="17"/>
      <c r="E28" s="17"/>
      <c r="F28" s="17"/>
      <c r="G28" s="17"/>
      <c r="H28" s="64">
        <f t="shared" si="0"/>
        <v>0</v>
      </c>
    </row>
    <row r="29" spans="1:8" ht="15.75" x14ac:dyDescent="0.25">
      <c r="A29" s="70">
        <f>'2Рабочее время'!A29</f>
        <v>0</v>
      </c>
      <c r="B29" s="17"/>
      <c r="C29" s="17"/>
      <c r="D29" s="17"/>
      <c r="E29" s="17"/>
      <c r="F29" s="17"/>
      <c r="G29" s="17"/>
      <c r="H29" s="64">
        <f t="shared" si="0"/>
        <v>0</v>
      </c>
    </row>
    <row r="30" spans="1:8" ht="15.75" x14ac:dyDescent="0.25">
      <c r="A30" s="70">
        <f>'2Рабочее время'!A30</f>
        <v>0</v>
      </c>
      <c r="B30" s="17"/>
      <c r="C30" s="17"/>
      <c r="D30" s="17"/>
      <c r="E30" s="17"/>
      <c r="F30" s="17"/>
      <c r="G30" s="17"/>
      <c r="H30" s="64">
        <f t="shared" si="0"/>
        <v>0</v>
      </c>
    </row>
  </sheetData>
  <sheetProtection selectLockedCells="1"/>
  <conditionalFormatting sqref="H4">
    <cfRule type="cellIs" dxfId="12" priority="7" operator="equal">
      <formula>0</formula>
    </cfRule>
    <cfRule type="expression" dxfId="11" priority="8">
      <formula>0</formula>
    </cfRule>
  </conditionalFormatting>
  <conditionalFormatting sqref="H2:H30">
    <cfRule type="cellIs" dxfId="10" priority="5" operator="equal">
      <formula>0</formula>
    </cfRule>
    <cfRule type="expression" dxfId="9" priority="6">
      <formula>0</formula>
    </cfRule>
  </conditionalFormatting>
  <conditionalFormatting sqref="A1:A1048576">
    <cfRule type="cellIs" priority="2" operator="equal">
      <formula>0</formula>
    </cfRule>
  </conditionalFormatting>
  <conditionalFormatting sqref="A1:G1048576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5" x14ac:dyDescent="0.25"/>
  <cols>
    <col min="1" max="1" width="50.140625" customWidth="1"/>
  </cols>
  <sheetData>
    <row r="1" spans="1:1" ht="39.75" customHeight="1" x14ac:dyDescent="0.25">
      <c r="A1" s="21" t="s">
        <v>0</v>
      </c>
    </row>
    <row r="2" spans="1:1" ht="39.75" customHeight="1" x14ac:dyDescent="0.25">
      <c r="A2" s="21" t="s">
        <v>15</v>
      </c>
    </row>
    <row r="3" spans="1:1" ht="39.75" customHeight="1" x14ac:dyDescent="0.25">
      <c r="A3" s="21" t="s">
        <v>11</v>
      </c>
    </row>
    <row r="4" spans="1:1" x14ac:dyDescent="0.25">
      <c r="A4" s="22"/>
    </row>
    <row r="5" spans="1:1" x14ac:dyDescent="0.25">
      <c r="A5" s="22"/>
    </row>
    <row r="6" spans="1:1" x14ac:dyDescent="0.25">
      <c r="A6" s="22"/>
    </row>
    <row r="7" spans="1:1" x14ac:dyDescent="0.25">
      <c r="A7" s="22"/>
    </row>
    <row r="8" spans="1:1" x14ac:dyDescent="0.25">
      <c r="A8" s="22"/>
    </row>
  </sheetData>
  <sheetProtection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K9"/>
  <sheetViews>
    <sheetView workbookViewId="0">
      <selection activeCell="C6" sqref="C6"/>
    </sheetView>
  </sheetViews>
  <sheetFormatPr defaultColWidth="9.140625" defaultRowHeight="15" x14ac:dyDescent="0.25"/>
  <cols>
    <col min="1" max="1" width="4.7109375" style="3" customWidth="1"/>
    <col min="2" max="2" width="56.5703125" style="3" customWidth="1"/>
    <col min="3" max="3" width="17.140625" style="3" customWidth="1"/>
    <col min="4" max="4" width="19" style="3" customWidth="1"/>
    <col min="5" max="5" width="22" style="3" customWidth="1"/>
    <col min="6" max="9" width="9.140625" style="3"/>
    <col min="10" max="10" width="25.85546875" style="3" customWidth="1"/>
    <col min="11" max="11" width="41.140625" style="3" customWidth="1"/>
    <col min="12" max="16384" width="9.140625" style="3"/>
  </cols>
  <sheetData>
    <row r="1" spans="2:11" ht="36.75" customHeight="1" x14ac:dyDescent="0.25"/>
    <row r="2" spans="2:11" ht="36" customHeight="1" x14ac:dyDescent="0.25">
      <c r="B2" s="24" t="s">
        <v>16</v>
      </c>
      <c r="C2" s="24" t="s">
        <v>17</v>
      </c>
      <c r="D2" s="24" t="s">
        <v>18</v>
      </c>
      <c r="E2" s="24" t="s">
        <v>19</v>
      </c>
      <c r="J2" s="24" t="s">
        <v>20</v>
      </c>
      <c r="K2" s="25">
        <v>50</v>
      </c>
    </row>
    <row r="3" spans="2:11" ht="36" customHeight="1" x14ac:dyDescent="0.25">
      <c r="B3" s="29" t="s">
        <v>21</v>
      </c>
      <c r="C3" s="26"/>
      <c r="D3" s="27"/>
      <c r="E3" s="28" t="str">
        <f>IF(AND(C3=0,D3=0),"введите данные",IF(AND(C3=0,D3&gt;0),D3*$K$3,IF(AND(C3&gt;0,D3&gt;0),"выберите % или значение",C3)))</f>
        <v>введите данные</v>
      </c>
      <c r="J3" s="24" t="s">
        <v>22</v>
      </c>
      <c r="K3" s="25">
        <v>200</v>
      </c>
    </row>
    <row r="4" spans="2:11" ht="36" customHeight="1" x14ac:dyDescent="0.25">
      <c r="B4" s="29" t="s">
        <v>23</v>
      </c>
      <c r="C4" s="26"/>
      <c r="D4" s="27"/>
      <c r="E4" s="28" t="str">
        <f>IF(AND(C4=0,D4=0),"введите данные",IF(AND(C4=0,D4&gt;0),D4*$K$3,IF(AND(C4&gt;0,D4&gt;0),"выберите % или значение",C4)))</f>
        <v>введите данные</v>
      </c>
    </row>
    <row r="5" spans="2:11" ht="36" customHeight="1" x14ac:dyDescent="0.25">
      <c r="B5" s="29" t="s">
        <v>24</v>
      </c>
      <c r="C5" s="26"/>
      <c r="D5" s="27"/>
      <c r="E5" s="28" t="str">
        <f>IF(AND(C5=0,D5=0),"введите данные",IF(AND(C5=0,D5&gt;0),D5*$K$3,IF(AND(C5&gt;0,D5&gt;0),"выберите % или значение",C5)))</f>
        <v>введите данные</v>
      </c>
    </row>
    <row r="6" spans="2:11" ht="36" customHeight="1" x14ac:dyDescent="0.25">
      <c r="B6" s="29" t="s">
        <v>25</v>
      </c>
      <c r="C6" s="26"/>
      <c r="D6" s="27"/>
      <c r="E6" s="28" t="str">
        <f>IF(AND(C6=0,D6=0),"введите данные",IF(AND(C6=0,D6&gt;0),D6*$K$3,IF(AND(C6&gt;0,D6&gt;0),"выберите % или значение",C6)))</f>
        <v>введите данные</v>
      </c>
    </row>
    <row r="7" spans="2:11" ht="36" customHeight="1" x14ac:dyDescent="0.25">
      <c r="B7" s="30" t="s">
        <v>27</v>
      </c>
      <c r="C7" s="26"/>
      <c r="D7" s="27"/>
      <c r="E7" s="28" t="str">
        <f>IF(AND(C7=0,D7=0),"введите данные",IF(AND(C7=0,D7&gt;0),D7*$K$2,IF(AND(C7&gt;0,D7&gt;0),"выберите % или значение",C7)))</f>
        <v>введите данные</v>
      </c>
    </row>
    <row r="8" spans="2:11" ht="36" customHeight="1" x14ac:dyDescent="0.25">
      <c r="B8" s="30" t="s">
        <v>28</v>
      </c>
      <c r="C8" s="26"/>
      <c r="D8" s="27"/>
      <c r="E8" s="28" t="str">
        <f>IF(AND(C8=0,D8=0),"введите данные",IF(AND(C8=0,D8&gt;0),D8*$K$2,IF(AND(C8&gt;0,D8&gt;0),"выберите % или значение",C8)))</f>
        <v>введите данные</v>
      </c>
    </row>
    <row r="9" spans="2:11" ht="36" customHeight="1" x14ac:dyDescent="0.25">
      <c r="B9" s="30" t="s">
        <v>26</v>
      </c>
      <c r="C9" s="26"/>
      <c r="D9" s="27"/>
      <c r="E9" s="28" t="str">
        <f>IF(AND(C9=0,D9=0),"введите данные",IF(AND(C9=0,D9&gt;0),D9*$K$2,IF(AND(C9&gt;0,D9&gt;0),"выберите % или значение",C9)))</f>
        <v>введите данные</v>
      </c>
    </row>
  </sheetData>
  <sheetProtection password="CE28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defaultRowHeight="15" x14ac:dyDescent="0.25"/>
  <cols>
    <col min="1" max="1" width="15.140625" customWidth="1"/>
  </cols>
  <sheetData>
    <row r="1" spans="1:1" ht="15.75" x14ac:dyDescent="0.25">
      <c r="A1" s="45" t="s">
        <v>37</v>
      </c>
    </row>
    <row r="2" spans="1:1" ht="15.75" x14ac:dyDescent="0.25">
      <c r="A2" s="45" t="s">
        <v>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1"/>
  <sheetViews>
    <sheetView workbookViewId="0">
      <selection activeCell="C11" sqref="C11"/>
    </sheetView>
  </sheetViews>
  <sheetFormatPr defaultRowHeight="15" x14ac:dyDescent="0.25"/>
  <cols>
    <col min="2" max="2" width="38.42578125" customWidth="1"/>
    <col min="3" max="3" width="44.140625" customWidth="1"/>
    <col min="4" max="4" width="17.28515625" bestFit="1" customWidth="1"/>
    <col min="5" max="5" width="19.85546875" bestFit="1" customWidth="1"/>
    <col min="6" max="6" width="28.42578125" bestFit="1" customWidth="1"/>
    <col min="7" max="7" width="25" bestFit="1" customWidth="1"/>
    <col min="8" max="8" width="29.140625" bestFit="1" customWidth="1"/>
    <col min="9" max="9" width="21.85546875" bestFit="1" customWidth="1"/>
    <col min="10" max="10" width="18.5703125" bestFit="1" customWidth="1"/>
    <col min="11" max="11" width="35" bestFit="1" customWidth="1"/>
    <col min="12" max="12" width="36.28515625" bestFit="1" customWidth="1"/>
    <col min="13" max="13" width="16.7109375" bestFit="1" customWidth="1"/>
    <col min="14" max="14" width="34.42578125" bestFit="1" customWidth="1"/>
    <col min="15" max="15" width="48.42578125" bestFit="1" customWidth="1"/>
    <col min="16" max="16" width="7.42578125" customWidth="1"/>
    <col min="17" max="17" width="11.85546875" bestFit="1" customWidth="1"/>
  </cols>
  <sheetData>
    <row r="3" spans="2:3" x14ac:dyDescent="0.25">
      <c r="B3" s="103" t="s">
        <v>118</v>
      </c>
      <c r="C3" t="s">
        <v>121</v>
      </c>
    </row>
    <row r="4" spans="2:3" x14ac:dyDescent="0.25">
      <c r="B4" s="5" t="s">
        <v>92</v>
      </c>
      <c r="C4" s="105">
        <v>22.333333333333332</v>
      </c>
    </row>
    <row r="5" spans="2:3" x14ac:dyDescent="0.25">
      <c r="B5" s="5" t="s">
        <v>78</v>
      </c>
      <c r="C5" s="105">
        <v>21.375</v>
      </c>
    </row>
    <row r="6" spans="2:3" x14ac:dyDescent="0.25">
      <c r="B6" s="5" t="s">
        <v>101</v>
      </c>
      <c r="C6" s="105">
        <v>26</v>
      </c>
    </row>
    <row r="7" spans="2:3" x14ac:dyDescent="0.25">
      <c r="B7" s="5" t="s">
        <v>68</v>
      </c>
      <c r="C7" s="105">
        <v>31.366666666666667</v>
      </c>
    </row>
    <row r="8" spans="2:3" x14ac:dyDescent="0.25">
      <c r="B8" s="5" t="s">
        <v>80</v>
      </c>
      <c r="C8" s="105">
        <v>35</v>
      </c>
    </row>
    <row r="9" spans="2:3" x14ac:dyDescent="0.25">
      <c r="B9" s="5" t="s">
        <v>94</v>
      </c>
      <c r="C9" s="105">
        <v>55</v>
      </c>
    </row>
    <row r="10" spans="2:3" x14ac:dyDescent="0.25">
      <c r="B10" s="5" t="s">
        <v>76</v>
      </c>
      <c r="C10" s="105">
        <v>10.5</v>
      </c>
    </row>
    <row r="11" spans="2:3" x14ac:dyDescent="0.25">
      <c r="B11" s="5" t="s">
        <v>87</v>
      </c>
      <c r="C11" s="105">
        <v>268</v>
      </c>
    </row>
    <row r="12" spans="2:3" x14ac:dyDescent="0.25">
      <c r="B12" s="5" t="s">
        <v>74</v>
      </c>
      <c r="C12" s="105">
        <v>8.1666666666666661</v>
      </c>
    </row>
    <row r="13" spans="2:3" x14ac:dyDescent="0.25">
      <c r="B13" s="5" t="s">
        <v>89</v>
      </c>
      <c r="C13" s="105">
        <v>4</v>
      </c>
    </row>
    <row r="14" spans="2:3" x14ac:dyDescent="0.25">
      <c r="B14" s="5" t="s">
        <v>98</v>
      </c>
      <c r="C14" s="105">
        <v>3.375</v>
      </c>
    </row>
    <row r="15" spans="2:3" x14ac:dyDescent="0.25">
      <c r="B15" s="5" t="s">
        <v>83</v>
      </c>
      <c r="C15" s="105">
        <v>6.1666666666666661</v>
      </c>
    </row>
    <row r="16" spans="2:3" x14ac:dyDescent="0.25">
      <c r="B16" s="5" t="s">
        <v>119</v>
      </c>
      <c r="C16" s="105">
        <v>0</v>
      </c>
    </row>
    <row r="17" spans="2:3" x14ac:dyDescent="0.25">
      <c r="B17" s="5" t="s">
        <v>120</v>
      </c>
      <c r="C17" s="104">
        <v>491.28333333333336</v>
      </c>
    </row>
    <row r="23" spans="2:3" x14ac:dyDescent="0.25">
      <c r="B23" s="103" t="s">
        <v>118</v>
      </c>
      <c r="C23" t="s">
        <v>121</v>
      </c>
    </row>
    <row r="24" spans="2:3" x14ac:dyDescent="0.25">
      <c r="B24" s="5" t="s">
        <v>108</v>
      </c>
      <c r="C24" s="105">
        <v>89.208333333333329</v>
      </c>
    </row>
    <row r="25" spans="2:3" x14ac:dyDescent="0.25">
      <c r="B25" s="5" t="s">
        <v>110</v>
      </c>
      <c r="C25" s="105">
        <v>32.866666666666667</v>
      </c>
    </row>
    <row r="26" spans="2:3" x14ac:dyDescent="0.25">
      <c r="B26" s="5" t="s">
        <v>119</v>
      </c>
      <c r="C26" s="105">
        <v>0</v>
      </c>
    </row>
    <row r="27" spans="2:3" x14ac:dyDescent="0.25">
      <c r="B27" s="5" t="s">
        <v>112</v>
      </c>
      <c r="C27" s="105">
        <v>269.66666666666663</v>
      </c>
    </row>
    <row r="28" spans="2:3" x14ac:dyDescent="0.25">
      <c r="B28" s="5" t="s">
        <v>157</v>
      </c>
      <c r="C28" s="105">
        <v>19.708333333333336</v>
      </c>
    </row>
    <row r="29" spans="2:3" x14ac:dyDescent="0.25">
      <c r="B29" s="5" t="s">
        <v>111</v>
      </c>
      <c r="C29" s="105">
        <v>57.333333333333336</v>
      </c>
    </row>
    <row r="30" spans="2:3" x14ac:dyDescent="0.25">
      <c r="B30" s="5" t="s">
        <v>160</v>
      </c>
      <c r="C30" s="105">
        <v>22.5</v>
      </c>
    </row>
    <row r="31" spans="2:3" x14ac:dyDescent="0.25">
      <c r="B31" s="5" t="s">
        <v>120</v>
      </c>
      <c r="C31" s="105">
        <v>491.28333333333325</v>
      </c>
    </row>
  </sheetData>
  <conditionalFormatting sqref="C1:C3 C19:C23 C32:C1048576">
    <cfRule type="cellIs" dxfId="7" priority="1" operator="equal">
      <formula>0</formula>
    </cfRule>
  </conditionalFormatting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Штатные должности</vt:lpstr>
      <vt:lpstr>1Описание работ</vt:lpstr>
      <vt:lpstr>2Рабочее время</vt:lpstr>
      <vt:lpstr>Расчет численности</vt:lpstr>
      <vt:lpstr>Потери рабочего времени</vt:lpstr>
      <vt:lpstr>Частотность</vt:lpstr>
      <vt:lpstr>Производные показатели</vt:lpstr>
      <vt:lpstr>Лист3</vt:lpstr>
      <vt:lpstr>Диаграммы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Гаджиева</dc:creator>
  <cp:lastModifiedBy>Denis</cp:lastModifiedBy>
  <cp:lastPrinted>2017-10-25T11:53:48Z</cp:lastPrinted>
  <dcterms:created xsi:type="dcterms:W3CDTF">2017-03-23T12:08:56Z</dcterms:created>
  <dcterms:modified xsi:type="dcterms:W3CDTF">2020-06-03T03:09:57Z</dcterms:modified>
</cp:coreProperties>
</file>